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drawings/drawing3.xml" ContentType="application/vnd.openxmlformats-officedocument.drawing+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drawings/drawing5.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tables/table1.xml" ContentType="application/vnd.openxmlformats-officedocument.spreadsheetml.table+xml"/>
  <Override PartName="/xl/tables/table2.xml" ContentType="application/vnd.openxmlformats-officedocument.spreadsheetml.table+xml"/>
  <Override PartName="/xl/comments6.xml" ContentType="application/vnd.openxmlformats-officedocument.spreadsheetml.comments+xml"/>
  <Override PartName="/xl/drawings/drawing6.xml" ContentType="application/vnd.openxmlformats-officedocument.drawing+xml"/>
  <Override PartName="/xl/activeX/activeX3.xml" ContentType="application/vnd.ms-office.activeX+xml"/>
  <Override PartName="/xl/activeX/activeX3.bin" ContentType="application/vnd.ms-office.activeX"/>
  <Override PartName="/xl/activeX/activeX4.xml" ContentType="application/vnd.ms-office.activeX+xml"/>
  <Override PartName="/xl/activeX/activeX4.bin" ContentType="application/vnd.ms-office.activeX"/>
  <Override PartName="/xl/tables/table3.xml" ContentType="application/vnd.openxmlformats-officedocument.spreadsheetml.table+xml"/>
  <Override PartName="/xl/tables/table4.xml" ContentType="application/vnd.openxmlformats-officedocument.spreadsheetml.table+xml"/>
  <Override PartName="/xl/comments7.xml" ContentType="application/vnd.openxmlformats-officedocument.spreadsheetml.comments+xml"/>
  <Override PartName="/xl/drawings/drawing7.xml" ContentType="application/vnd.openxmlformats-officedocument.drawing+xml"/>
  <Override PartName="/xl/activeX/activeX5.xml" ContentType="application/vnd.ms-office.activeX+xml"/>
  <Override PartName="/xl/activeX/activeX5.bin" ContentType="application/vnd.ms-office.activeX"/>
  <Override PartName="/xl/activeX/activeX6.xml" ContentType="application/vnd.ms-office.activeX+xml"/>
  <Override PartName="/xl/activeX/activeX6.bin" ContentType="application/vnd.ms-office.activeX"/>
  <Override PartName="/xl/tables/table5.xml" ContentType="application/vnd.openxmlformats-officedocument.spreadsheetml.table+xml"/>
  <Override PartName="/xl/tables/table6.xml" ContentType="application/vnd.openxmlformats-officedocument.spreadsheetml.table+xml"/>
  <Override PartName="/xl/comments8.xml" ContentType="application/vnd.openxmlformats-officedocument.spreadsheetml.comments+xml"/>
  <Override PartName="/xl/drawings/drawing8.xml" ContentType="application/vnd.openxmlformats-officedocument.drawing+xml"/>
  <Override PartName="/xl/activeX/activeX7.xml" ContentType="application/vnd.ms-office.activeX+xml"/>
  <Override PartName="/xl/activeX/activeX7.bin" ContentType="application/vnd.ms-office.activeX"/>
  <Override PartName="/xl/activeX/activeX8.xml" ContentType="application/vnd.ms-office.activeX+xml"/>
  <Override PartName="/xl/activeX/activeX8.bin" ContentType="application/vnd.ms-office.activeX"/>
  <Override PartName="/xl/tables/table7.xml" ContentType="application/vnd.openxmlformats-officedocument.spreadsheetml.table+xml"/>
  <Override PartName="/xl/tables/table8.xml" ContentType="application/vnd.openxmlformats-officedocument.spreadsheetml.table+xml"/>
  <Override PartName="/xl/comments9.xml" ContentType="application/vnd.openxmlformats-officedocument.spreadsheetml.comments+xml"/>
  <Override PartName="/xl/drawings/drawing9.xml" ContentType="application/vnd.openxmlformats-officedocument.drawing+xml"/>
  <Override PartName="/xl/activeX/activeX9.xml" ContentType="application/vnd.ms-office.activeX+xml"/>
  <Override PartName="/xl/activeX/activeX9.bin" ContentType="application/vnd.ms-office.activeX"/>
  <Override PartName="/xl/activeX/activeX10.xml" ContentType="application/vnd.ms-office.activeX+xml"/>
  <Override PartName="/xl/activeX/activeX10.bin" ContentType="application/vnd.ms-office.activeX"/>
  <Override PartName="/xl/tables/table9.xml" ContentType="application/vnd.openxmlformats-officedocument.spreadsheetml.table+xml"/>
  <Override PartName="/xl/tables/table10.xml" ContentType="application/vnd.openxmlformats-officedocument.spreadsheetml.table+xml"/>
  <Override PartName="/xl/comments10.xml" ContentType="application/vnd.openxmlformats-officedocument.spreadsheetml.comments+xml"/>
  <Override PartName="/xl/comments11.xml" ContentType="application/vnd.openxmlformats-officedocument.spreadsheetml.comments+xml"/>
  <Override PartName="/xl/drawings/drawing10.xml" ContentType="application/vnd.openxmlformats-officedocument.drawing+xml"/>
  <Override PartName="/xl/comments1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DieseArbeitsmappe" defaultThemeVersion="124226"/>
  <mc:AlternateContent xmlns:mc="http://schemas.openxmlformats.org/markup-compatibility/2006">
    <mc:Choice Requires="x15">
      <x15ac:absPath xmlns:x15ac="http://schemas.microsoft.com/office/spreadsheetml/2010/11/ac" url="\\wirtschaft.bayern.de\Daten\GEMEINSAM\Landesregulierungskammer\IT\Internetseite_Kammer\Struktur_Internetseite\Veröffentlichungen\StromNEV\§19\"/>
    </mc:Choice>
  </mc:AlternateContent>
  <xr:revisionPtr revIDLastSave="0" documentId="8_{E75AA3BB-1984-4ABF-B40C-89D5DB69285F}" xr6:coauthVersionLast="47" xr6:coauthVersionMax="47" xr10:uidLastSave="{00000000-0000-0000-0000-000000000000}"/>
  <bookViews>
    <workbookView xWindow="-120" yWindow="-120" windowWidth="29040" windowHeight="17520" xr2:uid="{1C0B250B-CFAE-4B03-BF35-1A61787702F6}"/>
  </bookViews>
  <sheets>
    <sheet name="Allgemeines" sheetId="17" r:id="rId1"/>
    <sheet name="AF" sheetId="8" r:id="rId2"/>
    <sheet name="JHL MS" sheetId="14" r:id="rId3"/>
    <sheet name="JHL MN" sheetId="15" r:id="rId4"/>
    <sheet name="JHL NS" sheetId="16" r:id="rId5"/>
    <sheet name="vermNE HS" sheetId="26" r:id="rId6"/>
    <sheet name="vermNE HM" sheetId="31" r:id="rId7"/>
    <sheet name="vermNE MS" sheetId="32" r:id="rId8"/>
    <sheet name="vermNE MN" sheetId="33" r:id="rId9"/>
    <sheet name="vermNE NS" sheetId="34" r:id="rId10"/>
    <sheet name="Zusammenfassung" sheetId="25" r:id="rId11"/>
    <sheet name="Überleitung zu E3" sheetId="38" r:id="rId12"/>
    <sheet name="Bilder" sheetId="12" r:id="rId13"/>
    <sheet name="Gewichtung" sheetId="39" r:id="rId14"/>
    <sheet name="Erläuterungen" sheetId="18" r:id="rId15"/>
    <sheet name="Listen" sheetId="30" r:id="rId16"/>
  </sheets>
  <definedNames>
    <definedName name="_xlnm.Print_Area" localSheetId="0">Allgemeines!$A$1:$B$115</definedName>
    <definedName name="_xlnm.Print_Area" localSheetId="6">'vermNE HM'!$A$1:$AD$72</definedName>
    <definedName name="_xlnm.Print_Area" localSheetId="5">'vermNE HS'!$A$1:$AD$72</definedName>
    <definedName name="_xlnm.Print_Area" localSheetId="8">'vermNE MN'!$A$1:$AD$72</definedName>
    <definedName name="_xlnm.Print_Area" localSheetId="7">'vermNE MS'!$A$1:$AD$72</definedName>
    <definedName name="_xlnm.Print_Area" localSheetId="9">'vermNE NS'!$A$1:$AD$72</definedName>
    <definedName name="_xlnm.Print_Area" localSheetId="10">Zusammenfassung!$A$1:$H$49</definedName>
    <definedName name="_xlnm.Print_Titles" localSheetId="1">AF!$A:$B</definedName>
    <definedName name="_xlnm.Print_Titles" localSheetId="0">Allgemeines!$1:$2</definedName>
    <definedName name="_xlnm.Print_Titles" localSheetId="10">Zusammenfassung!$A:$A,Zusammenfassung!$1:$6</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64" i="26" l="1"/>
  <c r="J63" i="26"/>
  <c r="J62" i="26"/>
  <c r="J61" i="26"/>
  <c r="J60" i="26"/>
  <c r="J59" i="26"/>
  <c r="J58" i="26"/>
  <c r="J57" i="26"/>
  <c r="J56" i="26"/>
  <c r="J55" i="26"/>
  <c r="J54" i="26"/>
  <c r="J53" i="26"/>
  <c r="J64" i="31"/>
  <c r="J63" i="31"/>
  <c r="J62" i="31"/>
  <c r="J61" i="31"/>
  <c r="J60" i="31"/>
  <c r="J59" i="31"/>
  <c r="J58" i="31"/>
  <c r="J57" i="31"/>
  <c r="J56" i="31"/>
  <c r="J55" i="31"/>
  <c r="J54" i="31"/>
  <c r="J53" i="31"/>
  <c r="J64" i="32"/>
  <c r="J63" i="32"/>
  <c r="J62" i="32"/>
  <c r="J61" i="32"/>
  <c r="J60" i="32"/>
  <c r="J59" i="32"/>
  <c r="J58" i="32"/>
  <c r="J57" i="32"/>
  <c r="J56" i="32"/>
  <c r="J55" i="32"/>
  <c r="J54" i="32"/>
  <c r="J53" i="32"/>
  <c r="J64" i="33"/>
  <c r="J63" i="33"/>
  <c r="J62" i="33"/>
  <c r="J61" i="33"/>
  <c r="J60" i="33"/>
  <c r="J59" i="33"/>
  <c r="J58" i="33"/>
  <c r="J57" i="33"/>
  <c r="J56" i="33"/>
  <c r="J55" i="33"/>
  <c r="J54" i="33"/>
  <c r="J53" i="33"/>
  <c r="J49" i="26"/>
  <c r="J48" i="26"/>
  <c r="J47" i="26"/>
  <c r="J46" i="26"/>
  <c r="J45" i="26"/>
  <c r="J44" i="26"/>
  <c r="J43" i="26"/>
  <c r="J42" i="26"/>
  <c r="J41" i="26"/>
  <c r="J40" i="26"/>
  <c r="J39" i="26"/>
  <c r="J38" i="26"/>
  <c r="J49" i="31"/>
  <c r="J48" i="31"/>
  <c r="J47" i="31"/>
  <c r="J46" i="31"/>
  <c r="J45" i="31"/>
  <c r="J44" i="31"/>
  <c r="J43" i="31"/>
  <c r="J42" i="31"/>
  <c r="J41" i="31"/>
  <c r="J40" i="31"/>
  <c r="J39" i="31"/>
  <c r="J38" i="31"/>
  <c r="J49" i="32"/>
  <c r="J48" i="32"/>
  <c r="J47" i="32"/>
  <c r="J46" i="32"/>
  <c r="J45" i="32"/>
  <c r="J44" i="32"/>
  <c r="J43" i="32"/>
  <c r="J42" i="32"/>
  <c r="J41" i="32"/>
  <c r="J40" i="32"/>
  <c r="J39" i="32"/>
  <c r="J38" i="32"/>
  <c r="J49" i="33"/>
  <c r="J48" i="33"/>
  <c r="J47" i="33"/>
  <c r="J46" i="33"/>
  <c r="J45" i="33"/>
  <c r="J44" i="33"/>
  <c r="J43" i="33"/>
  <c r="J42" i="33"/>
  <c r="J41" i="33"/>
  <c r="J40" i="33"/>
  <c r="J39" i="33"/>
  <c r="J38" i="33"/>
  <c r="W14" i="34"/>
  <c r="E25" i="25"/>
  <c r="D25" i="25"/>
  <c r="E24" i="25"/>
  <c r="D24" i="25"/>
  <c r="E31" i="25"/>
  <c r="E30" i="25"/>
  <c r="E29" i="25"/>
  <c r="E28" i="25"/>
  <c r="E27" i="25"/>
  <c r="E26" i="25"/>
  <c r="E22" i="25"/>
  <c r="E21" i="25"/>
  <c r="E20" i="25"/>
  <c r="E19" i="25"/>
  <c r="X67" i="33"/>
  <c r="X66" i="33"/>
  <c r="V14" i="34"/>
  <c r="D27" i="25"/>
  <c r="D29" i="25"/>
  <c r="D20" i="25"/>
  <c r="D19" i="25"/>
  <c r="D22" i="25"/>
  <c r="G67" i="33"/>
  <c r="D67" i="33"/>
  <c r="G66" i="33"/>
  <c r="D66" i="33"/>
  <c r="AD66" i="33"/>
  <c r="AA66" i="33"/>
  <c r="U66" i="33"/>
  <c r="R66" i="33"/>
  <c r="H66" i="33"/>
  <c r="AA67" i="33"/>
  <c r="T66" i="33"/>
  <c r="AD67" i="33"/>
  <c r="P66" i="33"/>
  <c r="P67" i="33"/>
  <c r="R67" i="33"/>
  <c r="U67" i="33"/>
  <c r="S66" i="33"/>
  <c r="V67" i="33"/>
  <c r="Q66" i="33"/>
  <c r="Q67" i="33"/>
  <c r="S67" i="33"/>
  <c r="H67" i="33"/>
  <c r="T67" i="33"/>
  <c r="E67" i="33"/>
  <c r="E66" i="33"/>
  <c r="Z66" i="33"/>
  <c r="Z67" i="33"/>
  <c r="AC66" i="33"/>
  <c r="AC67" i="33"/>
  <c r="AE67" i="33"/>
  <c r="AE66" i="33"/>
  <c r="N66" i="33"/>
  <c r="O67" i="33"/>
  <c r="O66" i="33"/>
  <c r="N67" i="33"/>
  <c r="Y66" i="33"/>
  <c r="I66" i="33"/>
  <c r="I67" i="33"/>
  <c r="V66" i="33"/>
  <c r="D28" i="25"/>
  <c r="D31" i="25"/>
  <c r="D21" i="25"/>
  <c r="AB66" i="33"/>
  <c r="AB67" i="33"/>
  <c r="D30" i="25"/>
  <c r="Y67" i="33"/>
  <c r="D26" i="25"/>
  <c r="J53" i="34"/>
  <c r="J54" i="34"/>
  <c r="J55" i="34"/>
  <c r="J56" i="34"/>
  <c r="J57" i="34"/>
  <c r="J58" i="34"/>
  <c r="J59" i="34"/>
  <c r="J60" i="34"/>
  <c r="J61" i="34"/>
  <c r="J62" i="34"/>
  <c r="J63" i="34"/>
  <c r="J64" i="34"/>
  <c r="J38" i="34"/>
  <c r="J39" i="34"/>
  <c r="J40" i="34"/>
  <c r="J41" i="34"/>
  <c r="J42" i="34"/>
  <c r="J43" i="34"/>
  <c r="J44" i="34"/>
  <c r="J45" i="34"/>
  <c r="J46" i="34"/>
  <c r="J47" i="34"/>
  <c r="J48" i="34"/>
  <c r="J49" i="34"/>
  <c r="N17" i="39"/>
  <c r="M17" i="39"/>
  <c r="L17" i="39"/>
  <c r="K17" i="39"/>
  <c r="J17" i="39"/>
  <c r="I17" i="39"/>
  <c r="H17" i="39"/>
  <c r="N16" i="39"/>
  <c r="M16" i="39"/>
  <c r="L16" i="39"/>
  <c r="K16" i="39"/>
  <c r="J16" i="39"/>
  <c r="I16" i="39"/>
  <c r="H16" i="39"/>
  <c r="N15" i="39"/>
  <c r="M15" i="39"/>
  <c r="L15" i="39"/>
  <c r="K15" i="39"/>
  <c r="J15" i="39"/>
  <c r="I15" i="39"/>
  <c r="H15" i="39"/>
  <c r="N14" i="39"/>
  <c r="M14" i="39"/>
  <c r="L14" i="39"/>
  <c r="K14" i="39"/>
  <c r="J14" i="39"/>
  <c r="I14" i="39"/>
  <c r="H14" i="39"/>
  <c r="N13" i="39"/>
  <c r="M13" i="39"/>
  <c r="L13" i="39"/>
  <c r="K13" i="39"/>
  <c r="J13" i="39"/>
  <c r="I13" i="39"/>
  <c r="H13" i="39"/>
  <c r="N12" i="39"/>
  <c r="M12" i="39"/>
  <c r="L12" i="39"/>
  <c r="K12" i="39"/>
  <c r="J12" i="39"/>
  <c r="I12" i="39"/>
  <c r="H12" i="39"/>
  <c r="N11" i="39"/>
  <c r="M11" i="39"/>
  <c r="L11" i="39"/>
  <c r="K11" i="39"/>
  <c r="J11" i="39"/>
  <c r="I11" i="39"/>
  <c r="H11" i="39"/>
  <c r="N10" i="39"/>
  <c r="M10" i="39"/>
  <c r="L10" i="39"/>
  <c r="K10" i="39"/>
  <c r="J10" i="39"/>
  <c r="I10" i="39"/>
  <c r="H10" i="39"/>
  <c r="N9" i="39"/>
  <c r="M9" i="39"/>
  <c r="L9" i="39"/>
  <c r="K9" i="39"/>
  <c r="J9" i="39"/>
  <c r="I9" i="39"/>
  <c r="H9" i="39"/>
  <c r="N8" i="39"/>
  <c r="M8" i="39"/>
  <c r="L8" i="39"/>
  <c r="K8" i="39"/>
  <c r="J8" i="39"/>
  <c r="I8" i="39"/>
  <c r="H8" i="39"/>
  <c r="N7" i="39"/>
  <c r="M7" i="39"/>
  <c r="L7" i="39"/>
  <c r="K7" i="39"/>
  <c r="J7" i="39"/>
  <c r="I7" i="39"/>
  <c r="H7" i="39"/>
  <c r="N6" i="39"/>
  <c r="M6" i="39"/>
  <c r="L6" i="39"/>
  <c r="K6" i="39"/>
  <c r="J6" i="39"/>
  <c r="I6" i="39"/>
  <c r="H6" i="39"/>
  <c r="M5" i="39"/>
  <c r="L5" i="39"/>
  <c r="K5" i="39"/>
  <c r="J5" i="39"/>
  <c r="I5" i="39"/>
  <c r="H5" i="39"/>
  <c r="N5" i="39"/>
  <c r="N4" i="39"/>
  <c r="C17" i="39"/>
  <c r="C13" i="39"/>
  <c r="C12" i="39"/>
  <c r="C11" i="39"/>
  <c r="C10" i="39"/>
  <c r="C9" i="39"/>
  <c r="C8" i="39"/>
  <c r="C7" i="39"/>
  <c r="G6" i="39"/>
  <c r="F6" i="39"/>
  <c r="E6" i="39"/>
  <c r="D6" i="39"/>
  <c r="C6" i="39"/>
  <c r="G5" i="39"/>
  <c r="F5" i="39"/>
  <c r="E5" i="39"/>
  <c r="D5" i="39"/>
  <c r="C5" i="39"/>
  <c r="B42" i="25"/>
  <c r="G16" i="39" l="1"/>
  <c r="F16" i="39"/>
  <c r="E16" i="39"/>
  <c r="D16" i="39"/>
  <c r="G15" i="39"/>
  <c r="F15" i="39"/>
  <c r="E15" i="39"/>
  <c r="D15" i="39"/>
  <c r="G14" i="39"/>
  <c r="F14" i="39"/>
  <c r="E14" i="39"/>
  <c r="D14" i="39"/>
  <c r="D4" i="39"/>
  <c r="D13" i="39" l="1"/>
  <c r="D12" i="39"/>
  <c r="D9" i="39"/>
  <c r="D11" i="39"/>
  <c r="D8" i="39"/>
  <c r="D17" i="39"/>
  <c r="D7" i="39"/>
  <c r="D10" i="39"/>
  <c r="E4" i="39"/>
  <c r="E12" i="39" l="1"/>
  <c r="E9" i="39"/>
  <c r="E17" i="39"/>
  <c r="E10" i="39"/>
  <c r="E7" i="39"/>
  <c r="E11" i="39"/>
  <c r="E8" i="39"/>
  <c r="E13" i="39"/>
  <c r="F4" i="39"/>
  <c r="F11" i="39" l="1"/>
  <c r="F17" i="39"/>
  <c r="F8" i="39"/>
  <c r="F12" i="39"/>
  <c r="F9" i="39"/>
  <c r="F13" i="39"/>
  <c r="F10" i="39"/>
  <c r="F7" i="39"/>
  <c r="G4" i="39"/>
  <c r="G17" i="39" l="1"/>
  <c r="G11" i="39"/>
  <c r="G8" i="39"/>
  <c r="G10" i="39"/>
  <c r="G7" i="39"/>
  <c r="G9" i="39"/>
  <c r="G13" i="39"/>
  <c r="G12" i="39"/>
  <c r="H4" i="39"/>
  <c r="I4" i="39" l="1"/>
  <c r="J4" i="39" l="1"/>
  <c r="K4" i="39"/>
  <c r="F14" i="8"/>
  <c r="F13" i="8"/>
  <c r="F12" i="8"/>
  <c r="F11" i="8"/>
  <c r="F10" i="8"/>
  <c r="L4" i="39" l="1"/>
  <c r="J1" i="38"/>
  <c r="B1" i="38"/>
  <c r="M4" i="39" l="1"/>
  <c r="H43" i="34"/>
  <c r="P43" i="34"/>
  <c r="Z43" i="34"/>
  <c r="AA43" i="34"/>
  <c r="AC43" i="34"/>
  <c r="AD43" i="34"/>
  <c r="AE43" i="34" l="1"/>
  <c r="AB43" i="34"/>
  <c r="K43" i="34"/>
  <c r="S43" i="34" s="1"/>
  <c r="W14" i="31"/>
  <c r="W14" i="32"/>
  <c r="O43" i="34" l="1"/>
  <c r="N43" i="34"/>
  <c r="T43" i="34"/>
  <c r="U43" i="34" s="1"/>
  <c r="M43" i="34"/>
  <c r="A5" i="25"/>
  <c r="H42" i="33" l="1"/>
  <c r="K42" i="33"/>
  <c r="S42" i="33" s="1"/>
  <c r="U42" i="33" s="1"/>
  <c r="Z42" i="33"/>
  <c r="AA42" i="33"/>
  <c r="AC42" i="33"/>
  <c r="AD42" i="33"/>
  <c r="T42" i="33" l="1"/>
  <c r="AE42" i="33"/>
  <c r="AB42" i="33"/>
  <c r="P42" i="33"/>
  <c r="E13" i="38"/>
  <c r="F13" i="38"/>
  <c r="G13" i="38"/>
  <c r="H13" i="38"/>
  <c r="I13" i="38"/>
  <c r="E14" i="38"/>
  <c r="F14" i="38"/>
  <c r="G14" i="38"/>
  <c r="H14" i="38"/>
  <c r="I14" i="38"/>
  <c r="E15" i="38"/>
  <c r="F15" i="38"/>
  <c r="G15" i="38"/>
  <c r="H15" i="38"/>
  <c r="I15" i="38"/>
  <c r="E16" i="38"/>
  <c r="F16" i="38"/>
  <c r="G16" i="38"/>
  <c r="H16" i="38"/>
  <c r="I16" i="38"/>
  <c r="E17" i="38"/>
  <c r="F17" i="38"/>
  <c r="G17" i="38"/>
  <c r="H17" i="38"/>
  <c r="I17" i="38"/>
  <c r="E18" i="38"/>
  <c r="F18" i="38"/>
  <c r="G18" i="38"/>
  <c r="H18" i="38"/>
  <c r="I18" i="38"/>
  <c r="E20" i="38"/>
  <c r="F20" i="38"/>
  <c r="G20" i="38"/>
  <c r="H20" i="38"/>
  <c r="I20" i="38"/>
  <c r="E21" i="38"/>
  <c r="F21" i="38"/>
  <c r="G21" i="38"/>
  <c r="H21" i="38"/>
  <c r="I21" i="38"/>
  <c r="E22" i="38"/>
  <c r="F22" i="38"/>
  <c r="G22" i="38"/>
  <c r="H22" i="38"/>
  <c r="I22" i="38"/>
  <c r="E23" i="38"/>
  <c r="F23" i="38"/>
  <c r="G23" i="38"/>
  <c r="H23" i="38"/>
  <c r="I23" i="38"/>
  <c r="E24" i="38"/>
  <c r="F24" i="38"/>
  <c r="G24" i="38"/>
  <c r="H24" i="38"/>
  <c r="I24" i="38"/>
  <c r="E25" i="38"/>
  <c r="F25" i="38"/>
  <c r="G25" i="38"/>
  <c r="H25" i="38"/>
  <c r="I25" i="38"/>
  <c r="E27" i="38"/>
  <c r="F27" i="38"/>
  <c r="G27" i="38"/>
  <c r="H27" i="38"/>
  <c r="I27" i="38"/>
  <c r="E28" i="38"/>
  <c r="F28" i="38"/>
  <c r="G28" i="38"/>
  <c r="H28" i="38"/>
  <c r="I28" i="38"/>
  <c r="E29" i="38"/>
  <c r="F29" i="38"/>
  <c r="G29" i="38"/>
  <c r="H29" i="38"/>
  <c r="I29" i="38"/>
  <c r="E30" i="38"/>
  <c r="F30" i="38"/>
  <c r="G30" i="38"/>
  <c r="H30" i="38"/>
  <c r="I30" i="38"/>
  <c r="E31" i="38"/>
  <c r="F31" i="38"/>
  <c r="G31" i="38"/>
  <c r="H31" i="38"/>
  <c r="I31" i="38"/>
  <c r="E32" i="38"/>
  <c r="F32" i="38"/>
  <c r="G32" i="38"/>
  <c r="H32" i="38"/>
  <c r="I32" i="38"/>
  <c r="E34" i="38"/>
  <c r="F34" i="38"/>
  <c r="G34" i="38"/>
  <c r="H34" i="38"/>
  <c r="I34" i="38"/>
  <c r="E35" i="38"/>
  <c r="F35" i="38"/>
  <c r="G35" i="38"/>
  <c r="H35" i="38"/>
  <c r="I35" i="38"/>
  <c r="E36" i="38"/>
  <c r="F36" i="38"/>
  <c r="G36" i="38"/>
  <c r="H36" i="38"/>
  <c r="I36" i="38"/>
  <c r="E37" i="38"/>
  <c r="F37" i="38"/>
  <c r="G37" i="38"/>
  <c r="H37" i="38"/>
  <c r="I37" i="38"/>
  <c r="E38" i="38"/>
  <c r="F38" i="38"/>
  <c r="G38" i="38"/>
  <c r="H38" i="38"/>
  <c r="I38" i="38"/>
  <c r="E39" i="38"/>
  <c r="F39" i="38"/>
  <c r="G39" i="38"/>
  <c r="H39" i="38"/>
  <c r="I39" i="38"/>
  <c r="E41" i="38"/>
  <c r="F41" i="38"/>
  <c r="G41" i="38"/>
  <c r="H41" i="38"/>
  <c r="I41" i="38"/>
  <c r="E42" i="38"/>
  <c r="F42" i="38"/>
  <c r="G42" i="38"/>
  <c r="H42" i="38"/>
  <c r="I42" i="38"/>
  <c r="E43" i="38"/>
  <c r="F43" i="38"/>
  <c r="G43" i="38"/>
  <c r="H43" i="38"/>
  <c r="I43" i="38"/>
  <c r="E44" i="38"/>
  <c r="F44" i="38"/>
  <c r="G44" i="38"/>
  <c r="H44" i="38"/>
  <c r="I44" i="38"/>
  <c r="E45" i="38"/>
  <c r="F45" i="38"/>
  <c r="G45" i="38"/>
  <c r="H45" i="38"/>
  <c r="I45" i="38"/>
  <c r="E46" i="38"/>
  <c r="F46" i="38"/>
  <c r="G46" i="38"/>
  <c r="H46" i="38"/>
  <c r="I46" i="38"/>
  <c r="E48" i="38"/>
  <c r="F48" i="38"/>
  <c r="E49" i="38"/>
  <c r="F49" i="38"/>
  <c r="G49" i="38"/>
  <c r="H49" i="38"/>
  <c r="I49" i="38"/>
  <c r="E50" i="38"/>
  <c r="F50" i="38"/>
  <c r="G50" i="38"/>
  <c r="H50" i="38"/>
  <c r="I50" i="38"/>
  <c r="E51" i="38"/>
  <c r="F51" i="38"/>
  <c r="G51" i="38"/>
  <c r="H51" i="38"/>
  <c r="I51" i="38"/>
  <c r="E52" i="38"/>
  <c r="F52" i="38"/>
  <c r="G52" i="38"/>
  <c r="H52" i="38"/>
  <c r="I52" i="38"/>
  <c r="Q59" i="38"/>
  <c r="S59" i="38" s="1"/>
  <c r="H48" i="38" s="1"/>
  <c r="N60" i="38"/>
  <c r="P60" i="38" s="1"/>
  <c r="Q60" i="38"/>
  <c r="N61" i="38"/>
  <c r="P61" i="38" s="1"/>
  <c r="Q61" i="38"/>
  <c r="S61" i="38" s="1"/>
  <c r="N62" i="38"/>
  <c r="P62" i="38" s="1"/>
  <c r="Q62" i="38"/>
  <c r="S62" i="38" s="1"/>
  <c r="N63" i="38"/>
  <c r="Q63" i="38"/>
  <c r="S63" i="38" s="1"/>
  <c r="N64" i="38"/>
  <c r="P64" i="38"/>
  <c r="Q64" i="38"/>
  <c r="S64" i="38" s="1"/>
  <c r="N65" i="38"/>
  <c r="P65" i="38" s="1"/>
  <c r="Q65" i="38"/>
  <c r="N66" i="38"/>
  <c r="P66" i="38" s="1"/>
  <c r="Q66" i="38"/>
  <c r="S66" i="38" s="1"/>
  <c r="N67" i="38"/>
  <c r="Q67" i="38"/>
  <c r="S67" i="38"/>
  <c r="N68" i="38"/>
  <c r="P68" i="38" s="1"/>
  <c r="Q68" i="38"/>
  <c r="S68" i="38" s="1"/>
  <c r="N69" i="38"/>
  <c r="P69" i="38" s="1"/>
  <c r="Q69" i="38"/>
  <c r="T69" i="38" s="1"/>
  <c r="N70" i="38"/>
  <c r="P70" i="38" s="1"/>
  <c r="Q70" i="38"/>
  <c r="S70" i="38" s="1"/>
  <c r="N71" i="38"/>
  <c r="Q71" i="38"/>
  <c r="S71" i="38" s="1"/>
  <c r="N72" i="38"/>
  <c r="Q72" i="38"/>
  <c r="S72" i="38" s="1"/>
  <c r="N73" i="38"/>
  <c r="P73" i="38" s="1"/>
  <c r="Q73" i="38"/>
  <c r="S73" i="38" s="1"/>
  <c r="N74" i="38"/>
  <c r="P74" i="38" s="1"/>
  <c r="Q74" i="38"/>
  <c r="S74" i="38" s="1"/>
  <c r="N75" i="38"/>
  <c r="Q75" i="38"/>
  <c r="S75" i="38" s="1"/>
  <c r="N76" i="38"/>
  <c r="Q76" i="38"/>
  <c r="S76" i="38" s="1"/>
  <c r="N77" i="38"/>
  <c r="P77" i="38" s="1"/>
  <c r="Q77" i="38"/>
  <c r="S77" i="38" s="1"/>
  <c r="N78" i="38"/>
  <c r="P78" i="38" s="1"/>
  <c r="Q78" i="38"/>
  <c r="S78" i="38" s="1"/>
  <c r="N79" i="38"/>
  <c r="Q79" i="38"/>
  <c r="S79" i="38"/>
  <c r="N80" i="38"/>
  <c r="T80" i="38" s="1"/>
  <c r="Q80" i="38"/>
  <c r="S80" i="38" s="1"/>
  <c r="N81" i="38"/>
  <c r="P81" i="38" s="1"/>
  <c r="Q81" i="38"/>
  <c r="S81" i="38" s="1"/>
  <c r="N82" i="38"/>
  <c r="T82" i="38" s="1"/>
  <c r="Q82" i="38"/>
  <c r="S82" i="38" s="1"/>
  <c r="N83" i="38"/>
  <c r="Q83" i="38"/>
  <c r="S83" i="38" s="1"/>
  <c r="N84" i="38"/>
  <c r="P84" i="38" s="1"/>
  <c r="Q84" i="38"/>
  <c r="S84" i="38" s="1"/>
  <c r="N85" i="38"/>
  <c r="P85" i="38" s="1"/>
  <c r="Q85" i="38"/>
  <c r="S85" i="38" s="1"/>
  <c r="N86" i="38"/>
  <c r="P86" i="38" s="1"/>
  <c r="Q86" i="38"/>
  <c r="S86" i="38" s="1"/>
  <c r="N87" i="38"/>
  <c r="Q87" i="38"/>
  <c r="S87" i="38" s="1"/>
  <c r="N88" i="38"/>
  <c r="P88" i="38" s="1"/>
  <c r="Q88" i="38"/>
  <c r="S88" i="38" s="1"/>
  <c r="N89" i="38"/>
  <c r="P89" i="38" s="1"/>
  <c r="Q89" i="38"/>
  <c r="S89" i="38" s="1"/>
  <c r="N90" i="38"/>
  <c r="P90" i="38" s="1"/>
  <c r="Q90" i="38"/>
  <c r="S90" i="38" s="1"/>
  <c r="N91" i="38"/>
  <c r="Q91" i="38"/>
  <c r="S91" i="38" s="1"/>
  <c r="N92" i="38"/>
  <c r="P92" i="38" s="1"/>
  <c r="Q92" i="38"/>
  <c r="S92" i="38" s="1"/>
  <c r="N93" i="38"/>
  <c r="P93" i="38" s="1"/>
  <c r="Q93" i="38"/>
  <c r="S93" i="38" s="1"/>
  <c r="N94" i="38"/>
  <c r="P94" i="38"/>
  <c r="Q94" i="38"/>
  <c r="S94" i="38" s="1"/>
  <c r="N95" i="38"/>
  <c r="Q95" i="38"/>
  <c r="S95" i="38"/>
  <c r="N96" i="38"/>
  <c r="P96" i="38" s="1"/>
  <c r="Q96" i="38"/>
  <c r="S96" i="38" s="1"/>
  <c r="N97" i="38"/>
  <c r="P97" i="38" s="1"/>
  <c r="Q97" i="38"/>
  <c r="N98" i="38"/>
  <c r="P98" i="38" s="1"/>
  <c r="Q98" i="38"/>
  <c r="S98" i="38" s="1"/>
  <c r="N99" i="38"/>
  <c r="Q99" i="38"/>
  <c r="S99" i="38" s="1"/>
  <c r="N100" i="38"/>
  <c r="P100" i="38" s="1"/>
  <c r="Q100" i="38"/>
  <c r="S100" i="38" s="1"/>
  <c r="N101" i="38"/>
  <c r="P101" i="38" s="1"/>
  <c r="Q101" i="38"/>
  <c r="S101" i="38" s="1"/>
  <c r="N102" i="38"/>
  <c r="P102" i="38" s="1"/>
  <c r="Q102" i="38"/>
  <c r="S102" i="38" s="1"/>
  <c r="N103" i="38"/>
  <c r="Q103" i="38"/>
  <c r="S103" i="38" s="1"/>
  <c r="N104" i="38"/>
  <c r="Q104" i="38"/>
  <c r="S104" i="38" s="1"/>
  <c r="N105" i="38"/>
  <c r="P105" i="38" s="1"/>
  <c r="Q105" i="38"/>
  <c r="S105" i="38" s="1"/>
  <c r="N106" i="38"/>
  <c r="P106" i="38" s="1"/>
  <c r="Q106" i="38"/>
  <c r="S106" i="38" s="1"/>
  <c r="N107" i="38"/>
  <c r="Q107" i="38"/>
  <c r="S107" i="38" s="1"/>
  <c r="N108" i="38"/>
  <c r="Q108" i="38"/>
  <c r="S108" i="38" s="1"/>
  <c r="N109" i="38"/>
  <c r="P109" i="38" s="1"/>
  <c r="Q109" i="38"/>
  <c r="S109" i="38" s="1"/>
  <c r="N110" i="38"/>
  <c r="T110" i="38" s="1"/>
  <c r="P110" i="38"/>
  <c r="Q110" i="38"/>
  <c r="S110" i="38" s="1"/>
  <c r="N111" i="38"/>
  <c r="Q111" i="38"/>
  <c r="S111" i="38" s="1"/>
  <c r="N112" i="38"/>
  <c r="Q112" i="38"/>
  <c r="S112" i="38" s="1"/>
  <c r="N113" i="38"/>
  <c r="P113" i="38" s="1"/>
  <c r="Q113" i="38"/>
  <c r="S113" i="38" s="1"/>
  <c r="N114" i="38"/>
  <c r="P114" i="38" s="1"/>
  <c r="Q114" i="38"/>
  <c r="S114" i="38" s="1"/>
  <c r="N115" i="38"/>
  <c r="Q115" i="38"/>
  <c r="S115" i="38" s="1"/>
  <c r="N116" i="38"/>
  <c r="Q116" i="38"/>
  <c r="S116" i="38" s="1"/>
  <c r="N117" i="38"/>
  <c r="P117" i="38" s="1"/>
  <c r="Q117" i="38"/>
  <c r="T117" i="38" s="1"/>
  <c r="N118" i="38"/>
  <c r="P118" i="38"/>
  <c r="Q118" i="38"/>
  <c r="S118" i="38" s="1"/>
  <c r="N119" i="38"/>
  <c r="Q119" i="38"/>
  <c r="S119" i="38"/>
  <c r="N120" i="38"/>
  <c r="P120" i="38" s="1"/>
  <c r="Q120" i="38"/>
  <c r="S120" i="38" s="1"/>
  <c r="N121" i="38"/>
  <c r="P121" i="38" s="1"/>
  <c r="Q121" i="38"/>
  <c r="S121" i="38" s="1"/>
  <c r="N122" i="38"/>
  <c r="P122" i="38" s="1"/>
  <c r="Q122" i="38"/>
  <c r="S122" i="38" s="1"/>
  <c r="N123" i="38"/>
  <c r="Q123" i="38"/>
  <c r="S123" i="38" s="1"/>
  <c r="N124" i="38"/>
  <c r="P124" i="38" s="1"/>
  <c r="Q124" i="38"/>
  <c r="S124" i="38" s="1"/>
  <c r="N125" i="38"/>
  <c r="P125" i="38" s="1"/>
  <c r="Q125" i="38"/>
  <c r="S125" i="38" s="1"/>
  <c r="N126" i="38"/>
  <c r="P126" i="38" s="1"/>
  <c r="Q126" i="38"/>
  <c r="S126" i="38" s="1"/>
  <c r="N127" i="38"/>
  <c r="Q127" i="38"/>
  <c r="S127" i="38" s="1"/>
  <c r="N128" i="38"/>
  <c r="P128" i="38" s="1"/>
  <c r="Q128" i="38"/>
  <c r="S128" i="38" s="1"/>
  <c r="N129" i="38"/>
  <c r="P129" i="38" s="1"/>
  <c r="Q129" i="38"/>
  <c r="S129" i="38" s="1"/>
  <c r="N130" i="38"/>
  <c r="P130" i="38" s="1"/>
  <c r="Q130" i="38"/>
  <c r="S130" i="38" s="1"/>
  <c r="N131" i="38"/>
  <c r="Q131" i="38"/>
  <c r="S131" i="38" s="1"/>
  <c r="N132" i="38"/>
  <c r="P132" i="38" s="1"/>
  <c r="Q132" i="38"/>
  <c r="S132" i="38" s="1"/>
  <c r="N133" i="38"/>
  <c r="P133" i="38" s="1"/>
  <c r="Q133" i="38"/>
  <c r="S133" i="38" s="1"/>
  <c r="N134" i="38"/>
  <c r="P134" i="38" s="1"/>
  <c r="Q134" i="38"/>
  <c r="S134" i="38" s="1"/>
  <c r="N135" i="38"/>
  <c r="Q135" i="38"/>
  <c r="S135" i="38" s="1"/>
  <c r="N136" i="38"/>
  <c r="P136" i="38" s="1"/>
  <c r="Q136" i="38"/>
  <c r="S136" i="38" s="1"/>
  <c r="N137" i="38"/>
  <c r="P137" i="38" s="1"/>
  <c r="Q137" i="38"/>
  <c r="S137" i="38" s="1"/>
  <c r="N138" i="38"/>
  <c r="T138" i="38" s="1"/>
  <c r="Q138" i="38"/>
  <c r="S138" i="38" s="1"/>
  <c r="N139" i="38"/>
  <c r="Q139" i="38"/>
  <c r="S139" i="38" s="1"/>
  <c r="N140" i="38"/>
  <c r="P140" i="38" s="1"/>
  <c r="Q140" i="38"/>
  <c r="S140" i="38" s="1"/>
  <c r="N141" i="38"/>
  <c r="P141" i="38" s="1"/>
  <c r="Q141" i="38"/>
  <c r="S141" i="38" s="1"/>
  <c r="N142" i="38"/>
  <c r="P142" i="38" s="1"/>
  <c r="Q142" i="38"/>
  <c r="S142" i="38" s="1"/>
  <c r="N143" i="38"/>
  <c r="Q143" i="38"/>
  <c r="S143" i="38" s="1"/>
  <c r="N144" i="38"/>
  <c r="P144" i="38" s="1"/>
  <c r="Q144" i="38"/>
  <c r="S144" i="38" s="1"/>
  <c r="N145" i="38"/>
  <c r="P145" i="38" s="1"/>
  <c r="Q145" i="38"/>
  <c r="S145" i="38" s="1"/>
  <c r="N146" i="38"/>
  <c r="T146" i="38" s="1"/>
  <c r="Q146" i="38"/>
  <c r="S146" i="38" s="1"/>
  <c r="N147" i="38"/>
  <c r="Q147" i="38"/>
  <c r="S147" i="38" s="1"/>
  <c r="N148" i="38"/>
  <c r="P148" i="38" s="1"/>
  <c r="Q148" i="38"/>
  <c r="S148" i="38" s="1"/>
  <c r="N149" i="38"/>
  <c r="P149" i="38" s="1"/>
  <c r="Q149" i="38"/>
  <c r="S149" i="38" s="1"/>
  <c r="N150" i="38"/>
  <c r="P150" i="38" s="1"/>
  <c r="Q150" i="38"/>
  <c r="S150" i="38" s="1"/>
  <c r="N151" i="38"/>
  <c r="Q151" i="38"/>
  <c r="S151" i="38" s="1"/>
  <c r="N152" i="38"/>
  <c r="P152" i="38" s="1"/>
  <c r="Q152" i="38"/>
  <c r="S152" i="38" s="1"/>
  <c r="N153" i="38"/>
  <c r="P153" i="38" s="1"/>
  <c r="Q153" i="38"/>
  <c r="S153" i="38" s="1"/>
  <c r="N154" i="38"/>
  <c r="P154" i="38" s="1"/>
  <c r="Q154" i="38"/>
  <c r="S154" i="38" s="1"/>
  <c r="N155" i="38"/>
  <c r="Q155" i="38"/>
  <c r="S155" i="38" s="1"/>
  <c r="N156" i="38"/>
  <c r="P156" i="38" s="1"/>
  <c r="Q156" i="38"/>
  <c r="S156" i="38" s="1"/>
  <c r="N157" i="38"/>
  <c r="P157" i="38" s="1"/>
  <c r="Q157" i="38"/>
  <c r="S157" i="38" s="1"/>
  <c r="N158" i="38"/>
  <c r="P158" i="38" s="1"/>
  <c r="Q158" i="38"/>
  <c r="S158" i="38" s="1"/>
  <c r="U86" i="38" l="1"/>
  <c r="T116" i="38"/>
  <c r="U156" i="38"/>
  <c r="U106" i="38"/>
  <c r="U66" i="38"/>
  <c r="T154" i="38"/>
  <c r="T122" i="38"/>
  <c r="T104" i="38"/>
  <c r="U74" i="38"/>
  <c r="T65" i="38"/>
  <c r="U62" i="38"/>
  <c r="P146" i="38"/>
  <c r="U134" i="38"/>
  <c r="S117" i="38"/>
  <c r="U117" i="38" s="1"/>
  <c r="U94" i="38"/>
  <c r="P82" i="38"/>
  <c r="U82" i="38" s="1"/>
  <c r="U124" i="38"/>
  <c r="U102" i="38"/>
  <c r="T74" i="38"/>
  <c r="U70" i="38"/>
  <c r="T62" i="38"/>
  <c r="U132" i="38"/>
  <c r="T118" i="38"/>
  <c r="T113" i="38"/>
  <c r="U98" i="38"/>
  <c r="T81" i="38"/>
  <c r="T77" i="38"/>
  <c r="U152" i="38"/>
  <c r="U144" i="38"/>
  <c r="U122" i="38"/>
  <c r="U154" i="38"/>
  <c r="U146" i="38"/>
  <c r="P138" i="38"/>
  <c r="T134" i="38"/>
  <c r="U126" i="38"/>
  <c r="U110" i="38"/>
  <c r="T101" i="38"/>
  <c r="T94" i="38"/>
  <c r="T86" i="38"/>
  <c r="S69" i="38"/>
  <c r="U69" i="38" s="1"/>
  <c r="H53" i="38"/>
  <c r="N42" i="33"/>
  <c r="O42" i="33"/>
  <c r="M42" i="33"/>
  <c r="T84" i="38"/>
  <c r="T142" i="38"/>
  <c r="U140" i="38"/>
  <c r="T72" i="38"/>
  <c r="T158" i="38"/>
  <c r="U84" i="38"/>
  <c r="T108" i="38"/>
  <c r="U128" i="38"/>
  <c r="T105" i="38"/>
  <c r="T98" i="38"/>
  <c r="T78" i="38"/>
  <c r="U158" i="38"/>
  <c r="U148" i="38"/>
  <c r="U142" i="38"/>
  <c r="T130" i="38"/>
  <c r="T114" i="38"/>
  <c r="T90" i="38"/>
  <c r="T85" i="38"/>
  <c r="U78" i="38"/>
  <c r="T76" i="38"/>
  <c r="T150" i="38"/>
  <c r="U136" i="38"/>
  <c r="U130" i="38"/>
  <c r="U114" i="38"/>
  <c r="T112" i="38"/>
  <c r="T109" i="38"/>
  <c r="T102" i="38"/>
  <c r="U90" i="38"/>
  <c r="T73" i="38"/>
  <c r="T66" i="38"/>
  <c r="U150" i="38"/>
  <c r="U138" i="38"/>
  <c r="T126" i="38"/>
  <c r="U118" i="38"/>
  <c r="P116" i="38"/>
  <c r="U116" i="38" s="1"/>
  <c r="T106" i="38"/>
  <c r="T97" i="38"/>
  <c r="U85" i="38"/>
  <c r="T70" i="38"/>
  <c r="P99" i="38"/>
  <c r="U99" i="38" s="1"/>
  <c r="T99" i="38"/>
  <c r="U93" i="38"/>
  <c r="P67" i="38"/>
  <c r="U67" i="38" s="1"/>
  <c r="T67" i="38"/>
  <c r="U61" i="38"/>
  <c r="P103" i="38"/>
  <c r="U103" i="38" s="1"/>
  <c r="T103" i="38"/>
  <c r="U88" i="38"/>
  <c r="U157" i="38"/>
  <c r="U153" i="38"/>
  <c r="U149" i="38"/>
  <c r="U145" i="38"/>
  <c r="U141" i="38"/>
  <c r="U137" i="38"/>
  <c r="U133" i="38"/>
  <c r="U129" i="38"/>
  <c r="U125" i="38"/>
  <c r="U121" i="38"/>
  <c r="P112" i="38"/>
  <c r="U112" i="38" s="1"/>
  <c r="S97" i="38"/>
  <c r="U97" i="38" s="1"/>
  <c r="P95" i="38"/>
  <c r="U95" i="38" s="1"/>
  <c r="T95" i="38"/>
  <c r="U89" i="38"/>
  <c r="P80" i="38"/>
  <c r="U80" i="38" s="1"/>
  <c r="S65" i="38"/>
  <c r="P63" i="38"/>
  <c r="U63" i="38" s="1"/>
  <c r="T63" i="38"/>
  <c r="F53" i="38"/>
  <c r="T120" i="38"/>
  <c r="P107" i="38"/>
  <c r="U107" i="38" s="1"/>
  <c r="T107" i="38"/>
  <c r="U101" i="38"/>
  <c r="U92" i="38"/>
  <c r="T88" i="38"/>
  <c r="P75" i="38"/>
  <c r="U75" i="38" s="1"/>
  <c r="T75" i="38"/>
  <c r="P71" i="38"/>
  <c r="U71" i="38" s="1"/>
  <c r="T71" i="38"/>
  <c r="T152" i="38"/>
  <c r="T140" i="38"/>
  <c r="T136" i="38"/>
  <c r="T132" i="38"/>
  <c r="T128" i="38"/>
  <c r="T124" i="38"/>
  <c r="P111" i="38"/>
  <c r="U111" i="38" s="1"/>
  <c r="T111" i="38"/>
  <c r="U105" i="38"/>
  <c r="U96" i="38"/>
  <c r="T92" i="38"/>
  <c r="P79" i="38"/>
  <c r="U79" i="38" s="1"/>
  <c r="T79" i="38"/>
  <c r="U73" i="38"/>
  <c r="U64" i="38"/>
  <c r="T60" i="38"/>
  <c r="T148" i="38"/>
  <c r="T157" i="38"/>
  <c r="T153" i="38"/>
  <c r="T141" i="38"/>
  <c r="T137" i="38"/>
  <c r="T133" i="38"/>
  <c r="T129" i="38"/>
  <c r="T125" i="38"/>
  <c r="T121" i="38"/>
  <c r="P115" i="38"/>
  <c r="U115" i="38" s="1"/>
  <c r="T115" i="38"/>
  <c r="U109" i="38"/>
  <c r="U100" i="38"/>
  <c r="T96" i="38"/>
  <c r="T89" i="38"/>
  <c r="P83" i="38"/>
  <c r="U83" i="38" s="1"/>
  <c r="T83" i="38"/>
  <c r="U77" i="38"/>
  <c r="U68" i="38"/>
  <c r="T64" i="38"/>
  <c r="U120" i="38"/>
  <c r="S60" i="38"/>
  <c r="U60" i="38" s="1"/>
  <c r="Q58" i="38"/>
  <c r="T156" i="38"/>
  <c r="T144" i="38"/>
  <c r="T149" i="38"/>
  <c r="T145" i="38"/>
  <c r="P119" i="38"/>
  <c r="U119" i="38" s="1"/>
  <c r="T119" i="38"/>
  <c r="U113" i="38"/>
  <c r="P104" i="38"/>
  <c r="U104" i="38" s="1"/>
  <c r="T100" i="38"/>
  <c r="T93" i="38"/>
  <c r="P87" i="38"/>
  <c r="U87" i="38" s="1"/>
  <c r="T87" i="38"/>
  <c r="U81" i="38"/>
  <c r="P72" i="38"/>
  <c r="U72" i="38" s="1"/>
  <c r="T68" i="38"/>
  <c r="T61" i="38"/>
  <c r="P155" i="38"/>
  <c r="U155" i="38" s="1"/>
  <c r="T155" i="38"/>
  <c r="P151" i="38"/>
  <c r="U151" i="38" s="1"/>
  <c r="T151" i="38"/>
  <c r="P147" i="38"/>
  <c r="U147" i="38" s="1"/>
  <c r="T147" i="38"/>
  <c r="P143" i="38"/>
  <c r="U143" i="38" s="1"/>
  <c r="T143" i="38"/>
  <c r="P139" i="38"/>
  <c r="U139" i="38" s="1"/>
  <c r="T139" i="38"/>
  <c r="P135" i="38"/>
  <c r="U135" i="38" s="1"/>
  <c r="T135" i="38"/>
  <c r="P131" i="38"/>
  <c r="U131" i="38" s="1"/>
  <c r="T131" i="38"/>
  <c r="P127" i="38"/>
  <c r="U127" i="38" s="1"/>
  <c r="T127" i="38"/>
  <c r="P123" i="38"/>
  <c r="U123" i="38" s="1"/>
  <c r="T123" i="38"/>
  <c r="P108" i="38"/>
  <c r="U108" i="38" s="1"/>
  <c r="P91" i="38"/>
  <c r="U91" i="38" s="1"/>
  <c r="T91" i="38"/>
  <c r="P76" i="38"/>
  <c r="U76" i="38" s="1"/>
  <c r="S58" i="38" l="1"/>
  <c r="U65" i="38"/>
  <c r="H25" i="25"/>
  <c r="H31" i="25" l="1"/>
  <c r="E23" i="25" l="1"/>
  <c r="E32" i="25" s="1"/>
  <c r="W31" i="33" l="1"/>
  <c r="E9" i="25" l="1"/>
  <c r="E10" i="25"/>
  <c r="E11" i="25"/>
  <c r="E12" i="25"/>
  <c r="E13" i="25"/>
  <c r="W31" i="26"/>
  <c r="W30" i="26" s="1"/>
  <c r="W31" i="31"/>
  <c r="W30" i="31" s="1"/>
  <c r="W31" i="32"/>
  <c r="W30" i="32" s="1"/>
  <c r="W30" i="33"/>
  <c r="V66" i="31"/>
  <c r="V67" i="31"/>
  <c r="W31" i="34"/>
  <c r="V69" i="31" l="1"/>
  <c r="W16" i="31" s="1"/>
  <c r="W30" i="34" l="1"/>
  <c r="K49" i="34" l="1"/>
  <c r="K48" i="34"/>
  <c r="K47" i="34"/>
  <c r="K46" i="34"/>
  <c r="K45" i="34"/>
  <c r="K44" i="34"/>
  <c r="K42" i="34"/>
  <c r="K41" i="34"/>
  <c r="K40" i="34"/>
  <c r="K39" i="34"/>
  <c r="K38" i="34"/>
  <c r="K49" i="33"/>
  <c r="K48" i="33"/>
  <c r="K47" i="33"/>
  <c r="K46" i="33"/>
  <c r="K45" i="33"/>
  <c r="K44" i="33"/>
  <c r="K43" i="33"/>
  <c r="K41" i="33"/>
  <c r="K40" i="33"/>
  <c r="K39" i="33"/>
  <c r="K38" i="33"/>
  <c r="K49" i="32"/>
  <c r="K48" i="32"/>
  <c r="K47" i="32"/>
  <c r="K46" i="32"/>
  <c r="K45" i="32"/>
  <c r="K44" i="32"/>
  <c r="K43" i="32"/>
  <c r="K42" i="32"/>
  <c r="K40" i="32"/>
  <c r="K39" i="32"/>
  <c r="K38" i="32"/>
  <c r="K49" i="31"/>
  <c r="K48" i="31"/>
  <c r="K47" i="31"/>
  <c r="K46" i="31"/>
  <c r="K45" i="31"/>
  <c r="K44" i="31"/>
  <c r="K43" i="31"/>
  <c r="K42" i="31"/>
  <c r="K41" i="31"/>
  <c r="K40" i="31"/>
  <c r="K39" i="31"/>
  <c r="K38" i="31"/>
  <c r="K38" i="26"/>
  <c r="K39" i="26"/>
  <c r="K40" i="26"/>
  <c r="K41" i="26"/>
  <c r="K42" i="26"/>
  <c r="K43" i="26"/>
  <c r="K44" i="26"/>
  <c r="K45" i="26"/>
  <c r="K46" i="26"/>
  <c r="K47" i="26"/>
  <c r="K48" i="26"/>
  <c r="K49" i="26"/>
  <c r="H39" i="34" l="1"/>
  <c r="T39" i="34" s="1"/>
  <c r="U39" i="34" s="1"/>
  <c r="S39" i="34"/>
  <c r="Z39" i="34"/>
  <c r="AA39" i="34"/>
  <c r="AC39" i="34"/>
  <c r="AD39" i="34"/>
  <c r="H40" i="34"/>
  <c r="T40" i="34" s="1"/>
  <c r="U40" i="34" s="1"/>
  <c r="S40" i="34"/>
  <c r="Z40" i="34"/>
  <c r="AA40" i="34"/>
  <c r="AC40" i="34"/>
  <c r="AD40" i="34"/>
  <c r="H41" i="34"/>
  <c r="T41" i="34" s="1"/>
  <c r="U41" i="34" s="1"/>
  <c r="S41" i="34"/>
  <c r="Z41" i="34"/>
  <c r="AA41" i="34"/>
  <c r="AC41" i="34"/>
  <c r="AD41" i="34"/>
  <c r="P42" i="34"/>
  <c r="Z42" i="34"/>
  <c r="AA42" i="34"/>
  <c r="AC42" i="34"/>
  <c r="AD42" i="34"/>
  <c r="H44" i="34"/>
  <c r="T44" i="34" s="1"/>
  <c r="U44" i="34" s="1"/>
  <c r="S44" i="34"/>
  <c r="Z44" i="34"/>
  <c r="AA44" i="34"/>
  <c r="AC44" i="34"/>
  <c r="AD44" i="34"/>
  <c r="H45" i="34"/>
  <c r="T45" i="34" s="1"/>
  <c r="U45" i="34" s="1"/>
  <c r="S45" i="34"/>
  <c r="Z45" i="34"/>
  <c r="AA45" i="34"/>
  <c r="AC45" i="34"/>
  <c r="AD45" i="34"/>
  <c r="H46" i="34"/>
  <c r="T46" i="34" s="1"/>
  <c r="U46" i="34" s="1"/>
  <c r="S46" i="34"/>
  <c r="Z46" i="34"/>
  <c r="AA46" i="34"/>
  <c r="AC46" i="34"/>
  <c r="AD46" i="34"/>
  <c r="H47" i="34"/>
  <c r="T47" i="34" s="1"/>
  <c r="U47" i="34" s="1"/>
  <c r="S47" i="34"/>
  <c r="Z47" i="34"/>
  <c r="AA47" i="34"/>
  <c r="AC47" i="34"/>
  <c r="AD47" i="34"/>
  <c r="H48" i="34"/>
  <c r="T48" i="34" s="1"/>
  <c r="U48" i="34" s="1"/>
  <c r="S48" i="34"/>
  <c r="Z48" i="34"/>
  <c r="AA48" i="34"/>
  <c r="AC48" i="34"/>
  <c r="AD48" i="34"/>
  <c r="Z38" i="34"/>
  <c r="AA38" i="34"/>
  <c r="AC38" i="34"/>
  <c r="AD38" i="34"/>
  <c r="B30" i="17"/>
  <c r="AB41" i="34" l="1"/>
  <c r="AB44" i="34"/>
  <c r="AE42" i="34"/>
  <c r="AB40" i="34"/>
  <c r="AB39" i="34"/>
  <c r="P39" i="34"/>
  <c r="AB42" i="34"/>
  <c r="AE39" i="34"/>
  <c r="AE40" i="34"/>
  <c r="AE45" i="34"/>
  <c r="P40" i="34"/>
  <c r="AE41" i="34"/>
  <c r="AB45" i="34"/>
  <c r="P45" i="34"/>
  <c r="AB47" i="34"/>
  <c r="AE44" i="34"/>
  <c r="P41" i="34"/>
  <c r="AE47" i="34"/>
  <c r="AE46" i="34"/>
  <c r="P44" i="34"/>
  <c r="AB46" i="34"/>
  <c r="AE48" i="34"/>
  <c r="P47" i="34"/>
  <c r="P46" i="34"/>
  <c r="AB48" i="34"/>
  <c r="P48" i="34"/>
  <c r="AB38" i="34"/>
  <c r="AE38" i="34"/>
  <c r="P38" i="34"/>
  <c r="O44" i="34" l="1"/>
  <c r="N41" i="34"/>
  <c r="N42" i="34"/>
  <c r="M39" i="34"/>
  <c r="O40" i="34"/>
  <c r="N39" i="34"/>
  <c r="O39" i="34"/>
  <c r="O45" i="34"/>
  <c r="M47" i="34"/>
  <c r="M42" i="34"/>
  <c r="O42" i="34"/>
  <c r="M41" i="34"/>
  <c r="N40" i="34"/>
  <c r="N46" i="34"/>
  <c r="O48" i="34"/>
  <c r="O41" i="34"/>
  <c r="M40" i="34"/>
  <c r="N45" i="34"/>
  <c r="N48" i="34"/>
  <c r="M45" i="34"/>
  <c r="N47" i="34"/>
  <c r="M46" i="34"/>
  <c r="M44" i="34"/>
  <c r="N44" i="34"/>
  <c r="O47" i="34"/>
  <c r="M48" i="34"/>
  <c r="O46" i="34"/>
  <c r="M38" i="34"/>
  <c r="O38" i="34"/>
  <c r="N38" i="34"/>
  <c r="F58" i="34"/>
  <c r="K58" i="34" s="1"/>
  <c r="Z58" i="34"/>
  <c r="AB58" i="34" s="1"/>
  <c r="AC58" i="34"/>
  <c r="AE58" i="34" s="1"/>
  <c r="F59" i="34"/>
  <c r="K59" i="34" s="1"/>
  <c r="Z59" i="34"/>
  <c r="AB59" i="34" s="1"/>
  <c r="AC59" i="34"/>
  <c r="AE59" i="34" s="1"/>
  <c r="F60" i="34"/>
  <c r="K60" i="34" s="1"/>
  <c r="Z60" i="34"/>
  <c r="AB60" i="34" s="1"/>
  <c r="AC60" i="34"/>
  <c r="AE60" i="34" s="1"/>
  <c r="F61" i="34"/>
  <c r="K61" i="34" s="1"/>
  <c r="Z61" i="34"/>
  <c r="AB61" i="34" s="1"/>
  <c r="AC61" i="34"/>
  <c r="AE61" i="34" s="1"/>
  <c r="F54" i="34"/>
  <c r="Z54" i="34"/>
  <c r="AB54" i="34" s="1"/>
  <c r="AC54" i="34"/>
  <c r="AE54" i="34" s="1"/>
  <c r="F55" i="34"/>
  <c r="K55" i="34" s="1"/>
  <c r="Z55" i="34"/>
  <c r="AB55" i="34" s="1"/>
  <c r="AC55" i="34"/>
  <c r="AE55" i="34" s="1"/>
  <c r="F56" i="34"/>
  <c r="K56" i="34" s="1"/>
  <c r="Z56" i="34"/>
  <c r="AB56" i="34" s="1"/>
  <c r="AC56" i="34"/>
  <c r="AE56" i="34" s="1"/>
  <c r="F57" i="34"/>
  <c r="K57" i="34" s="1"/>
  <c r="Z57" i="34"/>
  <c r="AB57" i="34" s="1"/>
  <c r="AC57" i="34"/>
  <c r="AE57" i="34" s="1"/>
  <c r="F62" i="34"/>
  <c r="Z62" i="34"/>
  <c r="AB62" i="34" s="1"/>
  <c r="AC62" i="34"/>
  <c r="AE62" i="34" s="1"/>
  <c r="F63" i="34"/>
  <c r="K63" i="34" s="1"/>
  <c r="Z63" i="34"/>
  <c r="AB63" i="34" s="1"/>
  <c r="AC63" i="34"/>
  <c r="AE63" i="34" s="1"/>
  <c r="K62" i="34" l="1"/>
  <c r="K54" i="34"/>
  <c r="M59" i="34"/>
  <c r="M58" i="34"/>
  <c r="N58" i="34"/>
  <c r="M63" i="34"/>
  <c r="P59" i="34"/>
  <c r="N59" i="34"/>
  <c r="N60" i="34"/>
  <c r="M60" i="34"/>
  <c r="M55" i="34"/>
  <c r="M61" i="34"/>
  <c r="N61" i="34"/>
  <c r="P61" i="34"/>
  <c r="M54" i="34"/>
  <c r="M62" i="34"/>
  <c r="N54" i="34"/>
  <c r="N55" i="34"/>
  <c r="M56" i="34"/>
  <c r="N56" i="34"/>
  <c r="P56" i="34"/>
  <c r="N57" i="34"/>
  <c r="M57" i="34"/>
  <c r="N62" i="34"/>
  <c r="N63" i="34"/>
  <c r="R68" i="34"/>
  <c r="O68" i="34"/>
  <c r="G68" i="34"/>
  <c r="D68" i="34"/>
  <c r="P62" i="34" l="1"/>
  <c r="P54" i="34"/>
  <c r="P58" i="34"/>
  <c r="P60" i="34"/>
  <c r="P55" i="34"/>
  <c r="P57" i="34"/>
  <c r="P63" i="34"/>
  <c r="C25" i="32" l="1"/>
  <c r="C24" i="32"/>
  <c r="V14" i="32" l="1"/>
  <c r="F64" i="26" l="1"/>
  <c r="K64" i="26" s="1"/>
  <c r="F63" i="26"/>
  <c r="K63" i="26" s="1"/>
  <c r="F62" i="26"/>
  <c r="K62" i="26" s="1"/>
  <c r="F61" i="26"/>
  <c r="K61" i="26" s="1"/>
  <c r="F60" i="26"/>
  <c r="K60" i="26" s="1"/>
  <c r="F59" i="26"/>
  <c r="K59" i="26" s="1"/>
  <c r="F58" i="26"/>
  <c r="K58" i="26" s="1"/>
  <c r="F57" i="26"/>
  <c r="K57" i="26" s="1"/>
  <c r="F56" i="26"/>
  <c r="K56" i="26" s="1"/>
  <c r="F55" i="26"/>
  <c r="K55" i="26" s="1"/>
  <c r="F54" i="26"/>
  <c r="K54" i="26" s="1"/>
  <c r="F53" i="26"/>
  <c r="K53" i="26" s="1"/>
  <c r="F64" i="31"/>
  <c r="K64" i="31" s="1"/>
  <c r="F63" i="31"/>
  <c r="K63" i="31" s="1"/>
  <c r="F62" i="31"/>
  <c r="K62" i="31" s="1"/>
  <c r="F61" i="31"/>
  <c r="K61" i="31" s="1"/>
  <c r="F60" i="31"/>
  <c r="K60" i="31" s="1"/>
  <c r="F59" i="31"/>
  <c r="K59" i="31" s="1"/>
  <c r="F58" i="31"/>
  <c r="K58" i="31" s="1"/>
  <c r="F57" i="31"/>
  <c r="K57" i="31" s="1"/>
  <c r="F56" i="31"/>
  <c r="K56" i="31" s="1"/>
  <c r="F55" i="31"/>
  <c r="K55" i="31" s="1"/>
  <c r="F54" i="31"/>
  <c r="K54" i="31" s="1"/>
  <c r="F53" i="31"/>
  <c r="K53" i="31" s="1"/>
  <c r="F64" i="32"/>
  <c r="K64" i="32" s="1"/>
  <c r="F63" i="32"/>
  <c r="K63" i="32" s="1"/>
  <c r="F62" i="32"/>
  <c r="K62" i="32" s="1"/>
  <c r="F61" i="32"/>
  <c r="K61" i="32" s="1"/>
  <c r="F60" i="32"/>
  <c r="K60" i="32" s="1"/>
  <c r="F59" i="32"/>
  <c r="K59" i="32" s="1"/>
  <c r="F58" i="32"/>
  <c r="K58" i="32" s="1"/>
  <c r="F57" i="32"/>
  <c r="K57" i="32" s="1"/>
  <c r="F56" i="32"/>
  <c r="K56" i="32" s="1"/>
  <c r="F55" i="32"/>
  <c r="K55" i="32" s="1"/>
  <c r="F54" i="32"/>
  <c r="K54" i="32" s="1"/>
  <c r="F53" i="32"/>
  <c r="K53" i="32" s="1"/>
  <c r="F64" i="33"/>
  <c r="F63" i="33"/>
  <c r="F62" i="33"/>
  <c r="F61" i="33"/>
  <c r="F60" i="33"/>
  <c r="F59" i="33"/>
  <c r="F58" i="33"/>
  <c r="F57" i="33"/>
  <c r="F56" i="33"/>
  <c r="F55" i="33"/>
  <c r="F54" i="33"/>
  <c r="F53" i="33"/>
  <c r="F53" i="34"/>
  <c r="K53" i="34" s="1"/>
  <c r="F64" i="34"/>
  <c r="K64" i="34" s="1"/>
  <c r="K53" i="33" l="1"/>
  <c r="K61" i="33"/>
  <c r="K56" i="33"/>
  <c r="K62" i="33"/>
  <c r="K63" i="33"/>
  <c r="K64" i="33"/>
  <c r="K54" i="33"/>
  <c r="K55" i="33"/>
  <c r="K58" i="33"/>
  <c r="K59" i="33"/>
  <c r="K57" i="33"/>
  <c r="K60" i="33"/>
  <c r="AD49" i="26"/>
  <c r="AD48" i="26"/>
  <c r="AD47" i="26"/>
  <c r="AD46" i="26"/>
  <c r="AD45" i="26"/>
  <c r="AD44" i="26"/>
  <c r="AD43" i="26"/>
  <c r="AD42" i="26"/>
  <c r="AD41" i="26"/>
  <c r="AD40" i="26"/>
  <c r="AD39" i="26"/>
  <c r="AD49" i="31"/>
  <c r="AD48" i="31"/>
  <c r="AD47" i="31"/>
  <c r="AD46" i="31"/>
  <c r="AD45" i="31"/>
  <c r="AD44" i="31"/>
  <c r="AD43" i="31"/>
  <c r="AD42" i="31"/>
  <c r="AD41" i="31"/>
  <c r="AD40" i="31"/>
  <c r="AD39" i="31"/>
  <c r="AD38" i="31"/>
  <c r="AD49" i="32"/>
  <c r="AD48" i="32"/>
  <c r="AD47" i="32"/>
  <c r="AD46" i="32"/>
  <c r="AD45" i="32"/>
  <c r="AD44" i="32"/>
  <c r="AD43" i="32"/>
  <c r="AD42" i="32"/>
  <c r="AD41" i="32"/>
  <c r="AD40" i="32"/>
  <c r="AD39" i="32"/>
  <c r="AD38" i="32"/>
  <c r="AD49" i="33"/>
  <c r="AD48" i="33"/>
  <c r="AD47" i="33"/>
  <c r="AD46" i="33"/>
  <c r="AD45" i="33"/>
  <c r="AD44" i="33"/>
  <c r="AD43" i="33"/>
  <c r="AD41" i="33"/>
  <c r="AD40" i="33"/>
  <c r="AD39" i="33"/>
  <c r="AD38" i="33"/>
  <c r="AD49" i="34"/>
  <c r="AA49" i="34" l="1"/>
  <c r="AA49" i="33"/>
  <c r="AA48" i="33"/>
  <c r="AA47" i="33"/>
  <c r="AA46" i="33"/>
  <c r="AA45" i="33"/>
  <c r="AA44" i="33"/>
  <c r="AA43" i="33"/>
  <c r="AA41" i="33"/>
  <c r="AA40" i="33"/>
  <c r="AA39" i="33"/>
  <c r="AA38" i="33"/>
  <c r="AA49" i="32"/>
  <c r="AA48" i="32"/>
  <c r="AA47" i="32"/>
  <c r="AA46" i="32"/>
  <c r="AA45" i="32"/>
  <c r="AA44" i="32"/>
  <c r="AA43" i="32"/>
  <c r="AA42" i="32"/>
  <c r="AA41" i="32"/>
  <c r="AA40" i="32"/>
  <c r="AA39" i="32"/>
  <c r="AA38" i="32"/>
  <c r="AA49" i="31"/>
  <c r="AA48" i="31"/>
  <c r="AA47" i="31"/>
  <c r="AA46" i="31"/>
  <c r="AA45" i="31"/>
  <c r="AA44" i="31"/>
  <c r="AA43" i="31"/>
  <c r="AA42" i="31"/>
  <c r="AA41" i="31"/>
  <c r="AA40" i="31"/>
  <c r="AA39" i="31"/>
  <c r="AA38" i="31"/>
  <c r="AA39" i="26"/>
  <c r="AA40" i="26"/>
  <c r="AA41" i="26"/>
  <c r="AA42" i="26"/>
  <c r="AA43" i="26"/>
  <c r="AA44" i="26"/>
  <c r="AA45" i="26"/>
  <c r="AA46" i="26"/>
  <c r="AA47" i="26"/>
  <c r="AA48" i="26"/>
  <c r="AA49" i="26"/>
  <c r="AC64" i="34" l="1"/>
  <c r="AC53" i="34"/>
  <c r="AC64" i="33"/>
  <c r="AC63" i="33"/>
  <c r="AC62" i="33"/>
  <c r="AC61" i="33"/>
  <c r="AC60" i="33"/>
  <c r="AC59" i="33"/>
  <c r="AC58" i="33"/>
  <c r="AC57" i="33"/>
  <c r="AC56" i="33"/>
  <c r="AC55" i="33"/>
  <c r="AC54" i="33"/>
  <c r="AC53" i="33"/>
  <c r="AC64" i="32"/>
  <c r="AC63" i="32"/>
  <c r="AC62" i="32"/>
  <c r="AC61" i="32"/>
  <c r="AC60" i="32"/>
  <c r="AC59" i="32"/>
  <c r="AC58" i="32"/>
  <c r="AC57" i="32"/>
  <c r="AC56" i="32"/>
  <c r="AC55" i="32"/>
  <c r="AC54" i="32"/>
  <c r="AC53" i="32"/>
  <c r="AC64" i="31"/>
  <c r="AC63" i="31"/>
  <c r="AC62" i="31"/>
  <c r="AC61" i="31"/>
  <c r="AC60" i="31"/>
  <c r="AC59" i="31"/>
  <c r="AC58" i="31"/>
  <c r="AC57" i="31"/>
  <c r="AC56" i="31"/>
  <c r="AC55" i="31"/>
  <c r="AC54" i="31"/>
  <c r="AC53" i="31"/>
  <c r="AC49" i="34"/>
  <c r="AC49" i="33"/>
  <c r="AC48" i="33"/>
  <c r="AC47" i="33"/>
  <c r="AC46" i="33"/>
  <c r="AC45" i="33"/>
  <c r="AC44" i="33"/>
  <c r="AC43" i="33"/>
  <c r="AC41" i="33"/>
  <c r="AC40" i="33"/>
  <c r="AC39" i="33"/>
  <c r="AC38" i="33"/>
  <c r="AC49" i="32"/>
  <c r="AC48" i="32"/>
  <c r="AC47" i="32"/>
  <c r="AC46" i="32"/>
  <c r="AC45" i="32"/>
  <c r="AC44" i="32"/>
  <c r="AC43" i="32"/>
  <c r="AC42" i="32"/>
  <c r="AC41" i="32"/>
  <c r="AC40" i="32"/>
  <c r="AC39" i="32"/>
  <c r="AC38" i="32"/>
  <c r="AC49" i="31"/>
  <c r="AC48" i="31"/>
  <c r="AC47" i="31"/>
  <c r="AC46" i="31"/>
  <c r="AC45" i="31"/>
  <c r="AC44" i="31"/>
  <c r="AC43" i="31"/>
  <c r="AC42" i="31"/>
  <c r="AC41" i="31"/>
  <c r="AC40" i="31"/>
  <c r="AC39" i="31"/>
  <c r="AC38" i="31"/>
  <c r="AC64" i="26"/>
  <c r="AC63" i="26"/>
  <c r="AC62" i="26"/>
  <c r="AC61" i="26"/>
  <c r="AC60" i="26"/>
  <c r="AC59" i="26"/>
  <c r="AC58" i="26"/>
  <c r="AC57" i="26"/>
  <c r="AC55" i="26"/>
  <c r="AC54" i="26"/>
  <c r="AC40" i="26"/>
  <c r="AC41" i="26"/>
  <c r="AC42" i="26"/>
  <c r="AC43" i="26"/>
  <c r="AC44" i="26"/>
  <c r="AC45" i="26"/>
  <c r="AC46" i="26"/>
  <c r="AC47" i="26"/>
  <c r="AC48" i="26"/>
  <c r="AC49" i="26"/>
  <c r="Z64" i="33" l="1"/>
  <c r="Z63" i="33"/>
  <c r="Z62" i="33"/>
  <c r="Z61" i="33"/>
  <c r="Z60" i="33"/>
  <c r="Z59" i="33"/>
  <c r="Z58" i="33"/>
  <c r="Z57" i="33"/>
  <c r="Z56" i="33"/>
  <c r="Z55" i="33"/>
  <c r="Z54" i="33"/>
  <c r="Z53" i="33"/>
  <c r="Z64" i="32"/>
  <c r="Z63" i="32"/>
  <c r="Z62" i="32"/>
  <c r="Z61" i="32"/>
  <c r="Z60" i="32"/>
  <c r="Z59" i="32"/>
  <c r="Z58" i="32"/>
  <c r="Z57" i="32"/>
  <c r="Z56" i="32"/>
  <c r="Z55" i="32"/>
  <c r="Z54" i="32"/>
  <c r="Z53" i="32"/>
  <c r="Z64" i="31"/>
  <c r="Z63" i="31"/>
  <c r="Z62" i="31"/>
  <c r="Z61" i="31"/>
  <c r="Z60" i="31"/>
  <c r="Z59" i="31"/>
  <c r="Z58" i="31"/>
  <c r="Z57" i="31"/>
  <c r="Z56" i="31"/>
  <c r="Z55" i="31"/>
  <c r="Z54" i="31"/>
  <c r="Z53" i="31"/>
  <c r="Z64" i="34"/>
  <c r="Z53" i="34"/>
  <c r="Z49" i="34"/>
  <c r="Z49" i="33"/>
  <c r="Z48" i="33"/>
  <c r="Z47" i="33"/>
  <c r="Z46" i="33"/>
  <c r="Z45" i="33"/>
  <c r="Z44" i="33"/>
  <c r="Z43" i="33"/>
  <c r="Z41" i="33"/>
  <c r="Z40" i="33"/>
  <c r="Z39" i="33"/>
  <c r="Z38" i="33"/>
  <c r="Z49" i="32"/>
  <c r="Z48" i="32"/>
  <c r="Z47" i="32"/>
  <c r="Z46" i="32"/>
  <c r="Z45" i="32"/>
  <c r="Z44" i="32"/>
  <c r="Z43" i="32"/>
  <c r="Z42" i="32"/>
  <c r="Z41" i="32"/>
  <c r="Z40" i="32"/>
  <c r="Z39" i="32"/>
  <c r="Z38" i="32"/>
  <c r="Z49" i="31"/>
  <c r="Z48" i="31"/>
  <c r="Z47" i="31"/>
  <c r="Z46" i="31"/>
  <c r="Z45" i="31"/>
  <c r="Z44" i="31"/>
  <c r="Z43" i="31"/>
  <c r="Z42" i="31"/>
  <c r="Z41" i="31"/>
  <c r="Z40" i="31"/>
  <c r="Z39" i="31"/>
  <c r="Z38" i="31"/>
  <c r="Z64" i="26"/>
  <c r="Z63" i="26"/>
  <c r="Z62" i="26"/>
  <c r="Z61" i="26"/>
  <c r="Z60" i="26"/>
  <c r="Z59" i="26"/>
  <c r="Z58" i="26"/>
  <c r="Z57" i="26"/>
  <c r="Z55" i="26"/>
  <c r="Z54" i="26"/>
  <c r="Z40" i="26"/>
  <c r="Z41" i="26"/>
  <c r="Z42" i="26"/>
  <c r="Z43" i="26"/>
  <c r="Z44" i="26"/>
  <c r="Z45" i="26"/>
  <c r="Z46" i="26"/>
  <c r="Z47" i="26"/>
  <c r="Z48" i="26"/>
  <c r="Z49" i="26"/>
  <c r="R67" i="26" l="1"/>
  <c r="R66" i="26"/>
  <c r="G67" i="26"/>
  <c r="G66" i="26"/>
  <c r="D67" i="26"/>
  <c r="D66" i="26"/>
  <c r="G38" i="25" l="1"/>
  <c r="B43" i="25"/>
  <c r="B41" i="25"/>
  <c r="B40" i="25"/>
  <c r="B39" i="25"/>
  <c r="B38" i="25"/>
  <c r="A46" i="25"/>
  <c r="B46" i="25" s="1"/>
  <c r="A45" i="25"/>
  <c r="B45" i="25" s="1"/>
  <c r="H27" i="25" l="1"/>
  <c r="H26" i="25"/>
  <c r="H29" i="25"/>
  <c r="G13" i="8"/>
  <c r="G12" i="8"/>
  <c r="G11" i="8"/>
  <c r="G10" i="8"/>
  <c r="D36" i="8" l="1"/>
  <c r="A1" i="8"/>
  <c r="G67" i="34"/>
  <c r="D67" i="34"/>
  <c r="G66" i="34"/>
  <c r="D66" i="34"/>
  <c r="P53" i="34"/>
  <c r="H49" i="34"/>
  <c r="T49" i="34" s="1"/>
  <c r="U49" i="34" s="1"/>
  <c r="AD66" i="34"/>
  <c r="AA66" i="34"/>
  <c r="R66" i="34"/>
  <c r="U36" i="34"/>
  <c r="AB35" i="34"/>
  <c r="AA35" i="34"/>
  <c r="Z35" i="34"/>
  <c r="G27" i="34"/>
  <c r="Y21" i="34"/>
  <c r="Y22" i="34" s="1"/>
  <c r="Y23" i="34" s="1"/>
  <c r="E22" i="34"/>
  <c r="F19" i="34"/>
  <c r="W15" i="34"/>
  <c r="V15" i="34"/>
  <c r="B1" i="34"/>
  <c r="R68" i="33"/>
  <c r="O68" i="33"/>
  <c r="G68" i="33"/>
  <c r="P63" i="33"/>
  <c r="P61" i="33"/>
  <c r="P59" i="33"/>
  <c r="P57" i="33"/>
  <c r="P55" i="33"/>
  <c r="H49" i="33"/>
  <c r="T49" i="33" s="1"/>
  <c r="H48" i="33"/>
  <c r="T48" i="33" s="1"/>
  <c r="S47" i="33"/>
  <c r="U47" i="33" s="1"/>
  <c r="H47" i="33"/>
  <c r="T47" i="33" s="1"/>
  <c r="P46" i="33"/>
  <c r="H46" i="33"/>
  <c r="T46" i="33" s="1"/>
  <c r="P45" i="33"/>
  <c r="H45" i="33"/>
  <c r="T45" i="33" s="1"/>
  <c r="P44" i="33"/>
  <c r="H43" i="33"/>
  <c r="T43" i="33" s="1"/>
  <c r="P41" i="33"/>
  <c r="H41" i="33"/>
  <c r="T41" i="33" s="1"/>
  <c r="H40" i="33"/>
  <c r="P38" i="33"/>
  <c r="U36" i="33"/>
  <c r="AB35" i="33"/>
  <c r="AA35" i="33"/>
  <c r="Z35" i="33"/>
  <c r="G27" i="33"/>
  <c r="Y21" i="33"/>
  <c r="Y22" i="33" s="1"/>
  <c r="Y23" i="33" s="1"/>
  <c r="E22" i="33"/>
  <c r="F19" i="33"/>
  <c r="B1" i="33"/>
  <c r="R68" i="32"/>
  <c r="O68" i="32"/>
  <c r="G68" i="32"/>
  <c r="G67" i="32"/>
  <c r="D67" i="32"/>
  <c r="W25" i="32" s="1"/>
  <c r="G66" i="32"/>
  <c r="D66" i="32"/>
  <c r="P63" i="32"/>
  <c r="P62" i="32"/>
  <c r="P61" i="32"/>
  <c r="P59" i="32"/>
  <c r="P58" i="32"/>
  <c r="P55" i="32"/>
  <c r="P54" i="32"/>
  <c r="D68" i="32"/>
  <c r="P49" i="32"/>
  <c r="H49" i="32"/>
  <c r="T49" i="32" s="1"/>
  <c r="P48" i="32"/>
  <c r="H48" i="32"/>
  <c r="T48" i="32" s="1"/>
  <c r="H47" i="32"/>
  <c r="T47" i="32" s="1"/>
  <c r="P46" i="32"/>
  <c r="H46" i="32"/>
  <c r="T46" i="32" s="1"/>
  <c r="P45" i="32"/>
  <c r="H45" i="32"/>
  <c r="T45" i="32" s="1"/>
  <c r="P44" i="32"/>
  <c r="H43" i="32"/>
  <c r="T43" i="32" s="1"/>
  <c r="P42" i="32"/>
  <c r="H42" i="32"/>
  <c r="T42" i="32" s="1"/>
  <c r="H41" i="32"/>
  <c r="AD66" i="32"/>
  <c r="AA66" i="32"/>
  <c r="R66" i="32"/>
  <c r="P39" i="32"/>
  <c r="P38" i="32"/>
  <c r="U36" i="32"/>
  <c r="AB35" i="32"/>
  <c r="AA35" i="32"/>
  <c r="Z35" i="32"/>
  <c r="G27" i="32"/>
  <c r="Y21" i="32"/>
  <c r="Y22" i="32" s="1"/>
  <c r="Y23" i="32" s="1"/>
  <c r="E22" i="32"/>
  <c r="F19" i="32"/>
  <c r="W15" i="32"/>
  <c r="V15" i="32"/>
  <c r="B1" i="32"/>
  <c r="R68" i="31"/>
  <c r="O68" i="31"/>
  <c r="G68" i="31"/>
  <c r="G67" i="31"/>
  <c r="D67" i="31"/>
  <c r="G66" i="31"/>
  <c r="D66" i="31"/>
  <c r="P63" i="31"/>
  <c r="P61" i="31"/>
  <c r="P59" i="31"/>
  <c r="P57" i="31"/>
  <c r="P55" i="31"/>
  <c r="H49" i="31"/>
  <c r="T49" i="31" s="1"/>
  <c r="P48" i="31"/>
  <c r="H48" i="31"/>
  <c r="T48" i="31" s="1"/>
  <c r="H47" i="31"/>
  <c r="T47" i="31" s="1"/>
  <c r="H46" i="31"/>
  <c r="T46" i="31" s="1"/>
  <c r="H45" i="31"/>
  <c r="T45" i="31" s="1"/>
  <c r="P44" i="31"/>
  <c r="H43" i="31"/>
  <c r="T43" i="31" s="1"/>
  <c r="P42" i="31"/>
  <c r="H42" i="31"/>
  <c r="T42" i="31" s="1"/>
  <c r="P41" i="31"/>
  <c r="H41" i="31"/>
  <c r="T41" i="31" s="1"/>
  <c r="AD66" i="31"/>
  <c r="AA66" i="31"/>
  <c r="R66" i="31"/>
  <c r="P40" i="31"/>
  <c r="P66" i="31" s="1"/>
  <c r="H40" i="31"/>
  <c r="T40" i="31" s="1"/>
  <c r="U36" i="31"/>
  <c r="AB35" i="31"/>
  <c r="AA35" i="31"/>
  <c r="Z35" i="31"/>
  <c r="G27" i="31"/>
  <c r="E26" i="31"/>
  <c r="E25" i="31"/>
  <c r="Y21" i="31"/>
  <c r="Y22" i="31" s="1"/>
  <c r="Y23" i="31" s="1"/>
  <c r="E24" i="31"/>
  <c r="W23" i="31"/>
  <c r="U70" i="31" s="1"/>
  <c r="E23" i="31"/>
  <c r="C23" i="31"/>
  <c r="C26" i="31" s="1"/>
  <c r="E22" i="31"/>
  <c r="C20" i="31"/>
  <c r="F19" i="31"/>
  <c r="W15" i="31"/>
  <c r="B1" i="31"/>
  <c r="H10" i="25" l="1"/>
  <c r="W17" i="31"/>
  <c r="H13" i="25"/>
  <c r="H11" i="25"/>
  <c r="G11" i="25"/>
  <c r="H66" i="32"/>
  <c r="T40" i="33"/>
  <c r="G13" i="25"/>
  <c r="P47" i="33"/>
  <c r="S49" i="34"/>
  <c r="S47" i="32"/>
  <c r="U47" i="32" s="1"/>
  <c r="S47" i="31"/>
  <c r="U47" i="31" s="1"/>
  <c r="P47" i="31"/>
  <c r="S46" i="31"/>
  <c r="U46" i="31" s="1"/>
  <c r="S43" i="31"/>
  <c r="U43" i="31" s="1"/>
  <c r="C31" i="31"/>
  <c r="I49" i="31" s="1"/>
  <c r="S40" i="32"/>
  <c r="U66" i="31"/>
  <c r="U66" i="32"/>
  <c r="D69" i="32"/>
  <c r="C12" i="32" s="1"/>
  <c r="P41" i="32"/>
  <c r="S46" i="33"/>
  <c r="U46" i="33" s="1"/>
  <c r="W23" i="34"/>
  <c r="P66" i="34"/>
  <c r="P40" i="32"/>
  <c r="P66" i="32" s="1"/>
  <c r="P43" i="31"/>
  <c r="AA69" i="33"/>
  <c r="P39" i="31"/>
  <c r="P49" i="34"/>
  <c r="AD69" i="33"/>
  <c r="AD67" i="34"/>
  <c r="AD69" i="34" s="1"/>
  <c r="S41" i="31"/>
  <c r="U41" i="31" s="1"/>
  <c r="S45" i="31"/>
  <c r="U45" i="31" s="1"/>
  <c r="AA67" i="32"/>
  <c r="AA69" i="32" s="1"/>
  <c r="T66" i="32"/>
  <c r="S48" i="32"/>
  <c r="U48" i="32" s="1"/>
  <c r="S40" i="33"/>
  <c r="P49" i="33"/>
  <c r="AA67" i="34"/>
  <c r="AA69" i="34" s="1"/>
  <c r="AD67" i="31"/>
  <c r="AD69" i="31" s="1"/>
  <c r="P45" i="31"/>
  <c r="P40" i="33"/>
  <c r="U67" i="31"/>
  <c r="M12" i="8"/>
  <c r="D27" i="8"/>
  <c r="M13" i="8"/>
  <c r="M14" i="8"/>
  <c r="F36" i="8"/>
  <c r="M11" i="8"/>
  <c r="R67" i="34"/>
  <c r="P64" i="34"/>
  <c r="P68" i="34" s="1"/>
  <c r="R67" i="32"/>
  <c r="S43" i="32"/>
  <c r="U43" i="32" s="1"/>
  <c r="P43" i="32"/>
  <c r="P47" i="32"/>
  <c r="P56" i="32"/>
  <c r="P60" i="32"/>
  <c r="P39" i="33"/>
  <c r="S42" i="32"/>
  <c r="U42" i="32" s="1"/>
  <c r="S46" i="32"/>
  <c r="U46" i="32" s="1"/>
  <c r="P64" i="32"/>
  <c r="P43" i="33"/>
  <c r="S43" i="33"/>
  <c r="U43" i="33" s="1"/>
  <c r="AD67" i="32"/>
  <c r="AD69" i="32" s="1"/>
  <c r="S45" i="32"/>
  <c r="U45" i="32" s="1"/>
  <c r="P60" i="33"/>
  <c r="P53" i="32"/>
  <c r="P57" i="32"/>
  <c r="S49" i="32"/>
  <c r="U49" i="32" s="1"/>
  <c r="P56" i="33"/>
  <c r="P64" i="33"/>
  <c r="P48" i="33"/>
  <c r="S48" i="33"/>
  <c r="U48" i="33" s="1"/>
  <c r="S49" i="33"/>
  <c r="U49" i="33" s="1"/>
  <c r="S41" i="33"/>
  <c r="U41" i="33" s="1"/>
  <c r="S45" i="33"/>
  <c r="U45" i="33" s="1"/>
  <c r="P53" i="33"/>
  <c r="P54" i="33"/>
  <c r="P58" i="33"/>
  <c r="P62" i="33"/>
  <c r="D68" i="33"/>
  <c r="H66" i="31"/>
  <c r="T66" i="31"/>
  <c r="P38" i="31"/>
  <c r="P67" i="31" s="1"/>
  <c r="S42" i="31"/>
  <c r="U42" i="31" s="1"/>
  <c r="P56" i="31"/>
  <c r="P60" i="31"/>
  <c r="P64" i="31"/>
  <c r="P46" i="31"/>
  <c r="R67" i="31"/>
  <c r="AA67" i="31"/>
  <c r="AA69" i="31" s="1"/>
  <c r="S40" i="31"/>
  <c r="P53" i="31"/>
  <c r="S49" i="31"/>
  <c r="U49" i="31" s="1"/>
  <c r="P49" i="31"/>
  <c r="P54" i="31"/>
  <c r="P58" i="31"/>
  <c r="P62" i="31"/>
  <c r="D68" i="31"/>
  <c r="D69" i="31" s="1"/>
  <c r="E11" i="8" s="1"/>
  <c r="S48" i="31"/>
  <c r="U48" i="31" s="1"/>
  <c r="R68" i="26"/>
  <c r="Y21" i="26"/>
  <c r="Y22" i="26" s="1"/>
  <c r="Y23" i="26" s="1"/>
  <c r="U36" i="26"/>
  <c r="W26" i="33" l="1"/>
  <c r="C30" i="33"/>
  <c r="D69" i="33"/>
  <c r="E13" i="8" s="1"/>
  <c r="U40" i="33"/>
  <c r="S66" i="31"/>
  <c r="U40" i="31"/>
  <c r="S66" i="32"/>
  <c r="U40" i="32"/>
  <c r="U67" i="32"/>
  <c r="P67" i="32"/>
  <c r="I46" i="31"/>
  <c r="I41" i="31"/>
  <c r="I42" i="31"/>
  <c r="I48" i="31"/>
  <c r="E12" i="8"/>
  <c r="I47" i="31"/>
  <c r="I40" i="31"/>
  <c r="I66" i="31" s="1"/>
  <c r="I45" i="31"/>
  <c r="I43" i="31"/>
  <c r="P67" i="34"/>
  <c r="R69" i="34"/>
  <c r="D69" i="34"/>
  <c r="E14" i="8" s="1"/>
  <c r="C12" i="33"/>
  <c r="R69" i="32"/>
  <c r="P68" i="33"/>
  <c r="P69" i="33" s="1"/>
  <c r="P68" i="32"/>
  <c r="R69" i="33"/>
  <c r="C12" i="31"/>
  <c r="U71" i="31"/>
  <c r="K21" i="26" s="1"/>
  <c r="P68" i="31"/>
  <c r="P69" i="31" s="1"/>
  <c r="R69" i="31"/>
  <c r="O68" i="26"/>
  <c r="P69" i="32" l="1"/>
  <c r="Q61" i="32" s="1"/>
  <c r="Q42" i="33"/>
  <c r="X42" i="33" s="1"/>
  <c r="P69" i="34"/>
  <c r="V67" i="32"/>
  <c r="R69" i="26"/>
  <c r="C12" i="34"/>
  <c r="U72" i="32"/>
  <c r="J21" i="31" s="1"/>
  <c r="Q62" i="33"/>
  <c r="Q58" i="33"/>
  <c r="Q54" i="33"/>
  <c r="Q49" i="33"/>
  <c r="Q61" i="33"/>
  <c r="Q57" i="33"/>
  <c r="Q53" i="33"/>
  <c r="Q64" i="33"/>
  <c r="Q60" i="33"/>
  <c r="Q56" i="33"/>
  <c r="Q38" i="33"/>
  <c r="Q43" i="33"/>
  <c r="Q39" i="33"/>
  <c r="Q48" i="33"/>
  <c r="Q44" i="33"/>
  <c r="Q40" i="33"/>
  <c r="Q45" i="33"/>
  <c r="Q59" i="33"/>
  <c r="Q47" i="33"/>
  <c r="Q46" i="33"/>
  <c r="Q55" i="33"/>
  <c r="Q41" i="33"/>
  <c r="Q63" i="33"/>
  <c r="U72" i="33"/>
  <c r="J21" i="32" s="1"/>
  <c r="Q62" i="31"/>
  <c r="Q58" i="31"/>
  <c r="Q54" i="31"/>
  <c r="Q49" i="31"/>
  <c r="Q61" i="31"/>
  <c r="Q57" i="31"/>
  <c r="Q53" i="31"/>
  <c r="Q64" i="31"/>
  <c r="Q60" i="31"/>
  <c r="Q56" i="31"/>
  <c r="Q46" i="31"/>
  <c r="Q45" i="31"/>
  <c r="Q41" i="31"/>
  <c r="Q42" i="31"/>
  <c r="Q38" i="31"/>
  <c r="Q55" i="31"/>
  <c r="Q47" i="31"/>
  <c r="Q43" i="31"/>
  <c r="Q39" i="31"/>
  <c r="Q63" i="31"/>
  <c r="Q59" i="31"/>
  <c r="Q48" i="31"/>
  <c r="Q44" i="31"/>
  <c r="Q40" i="31"/>
  <c r="Q66" i="31" s="1"/>
  <c r="U72" i="31"/>
  <c r="J21" i="26" s="1"/>
  <c r="H49" i="26"/>
  <c r="T49" i="26" s="1"/>
  <c r="H48" i="26"/>
  <c r="T48" i="26" s="1"/>
  <c r="H47" i="26"/>
  <c r="T47" i="26" s="1"/>
  <c r="H46" i="26"/>
  <c r="T46" i="26" s="1"/>
  <c r="H45" i="26"/>
  <c r="T45" i="26" s="1"/>
  <c r="H43" i="26"/>
  <c r="T43" i="26" s="1"/>
  <c r="H41" i="26"/>
  <c r="T41" i="26" s="1"/>
  <c r="H40" i="26"/>
  <c r="T40" i="26" s="1"/>
  <c r="G68" i="26"/>
  <c r="Q40" i="32" l="1"/>
  <c r="Q66" i="32" s="1"/>
  <c r="Q58" i="32"/>
  <c r="Q38" i="32"/>
  <c r="Q46" i="32"/>
  <c r="Q49" i="32"/>
  <c r="Q43" i="32"/>
  <c r="Q56" i="32"/>
  <c r="Q41" i="32"/>
  <c r="Q57" i="32"/>
  <c r="Q47" i="32"/>
  <c r="Q48" i="32"/>
  <c r="Q54" i="32"/>
  <c r="Q45" i="32"/>
  <c r="Q60" i="32"/>
  <c r="Q62" i="32"/>
  <c r="Q44" i="32"/>
  <c r="Q55" i="32"/>
  <c r="Q64" i="32"/>
  <c r="Q63" i="32"/>
  <c r="Q59" i="32"/>
  <c r="Q53" i="32"/>
  <c r="Q39" i="32"/>
  <c r="Q42" i="32"/>
  <c r="Q55" i="34"/>
  <c r="X55" i="34" s="1"/>
  <c r="Q63" i="34"/>
  <c r="X63" i="34" s="1"/>
  <c r="Q41" i="34"/>
  <c r="X41" i="34" s="1"/>
  <c r="Q49" i="34"/>
  <c r="Q60" i="34"/>
  <c r="X60" i="34" s="1"/>
  <c r="Q46" i="34"/>
  <c r="X46" i="34" s="1"/>
  <c r="Q47" i="34"/>
  <c r="X47" i="34" s="1"/>
  <c r="Q43" i="34"/>
  <c r="X43" i="34" s="1"/>
  <c r="Q56" i="34"/>
  <c r="X56" i="34" s="1"/>
  <c r="Q64" i="34"/>
  <c r="Q38" i="34"/>
  <c r="X38" i="34" s="1"/>
  <c r="Q53" i="34"/>
  <c r="Q39" i="34"/>
  <c r="X39" i="34" s="1"/>
  <c r="Q57" i="34"/>
  <c r="X57" i="34" s="1"/>
  <c r="Q58" i="34"/>
  <c r="X58" i="34" s="1"/>
  <c r="Q44" i="34"/>
  <c r="X44" i="34" s="1"/>
  <c r="Q61" i="34"/>
  <c r="X61" i="34" s="1"/>
  <c r="Q59" i="34"/>
  <c r="X59" i="34" s="1"/>
  <c r="Q45" i="34"/>
  <c r="X45" i="34" s="1"/>
  <c r="Q54" i="34"/>
  <c r="X54" i="34" s="1"/>
  <c r="Q62" i="34"/>
  <c r="X62" i="34" s="1"/>
  <c r="Q40" i="34"/>
  <c r="X40" i="34" s="1"/>
  <c r="Q48" i="34"/>
  <c r="X48" i="34" s="1"/>
  <c r="Q42" i="34"/>
  <c r="X42" i="34" s="1"/>
  <c r="U72" i="34"/>
  <c r="J21" i="33" s="1"/>
  <c r="Q66" i="34"/>
  <c r="Q67" i="34"/>
  <c r="Q68" i="33"/>
  <c r="Q67" i="32"/>
  <c r="Q67" i="31"/>
  <c r="Q68" i="31"/>
  <c r="D68" i="26"/>
  <c r="Q68" i="32" l="1"/>
  <c r="Q69" i="32" s="1"/>
  <c r="V16" i="32" s="1"/>
  <c r="V17" i="32" s="1"/>
  <c r="Q68" i="34"/>
  <c r="Q69" i="34" s="1"/>
  <c r="V16" i="34" s="1"/>
  <c r="V17" i="34" s="1"/>
  <c r="Q69" i="33"/>
  <c r="V16" i="33" s="1"/>
  <c r="Q69" i="31"/>
  <c r="V16" i="31" s="1"/>
  <c r="P63" i="26" l="1"/>
  <c r="P64" i="26"/>
  <c r="AB35" i="26"/>
  <c r="AA35" i="26"/>
  <c r="G27" i="26" l="1"/>
  <c r="Z35" i="26"/>
  <c r="C15" i="8" l="1"/>
  <c r="P62" i="26" l="1"/>
  <c r="P61" i="26"/>
  <c r="P60" i="26"/>
  <c r="P59" i="26"/>
  <c r="P58" i="26"/>
  <c r="P57" i="26"/>
  <c r="P56" i="26"/>
  <c r="P55" i="26"/>
  <c r="P54" i="26"/>
  <c r="P53" i="26"/>
  <c r="D41" i="25"/>
  <c r="D30" i="8"/>
  <c r="F39" i="8"/>
  <c r="P39" i="26"/>
  <c r="D43" i="25"/>
  <c r="D40" i="25"/>
  <c r="D39" i="25"/>
  <c r="D38" i="25"/>
  <c r="H24" i="25"/>
  <c r="H23" i="25"/>
  <c r="C39" i="8"/>
  <c r="D15" i="8"/>
  <c r="M15" i="8"/>
  <c r="F19" i="26"/>
  <c r="L15" i="8"/>
  <c r="J15" i="8"/>
  <c r="I15" i="8"/>
  <c r="F15" i="8"/>
  <c r="C9" i="26"/>
  <c r="P10" i="8"/>
  <c r="W15" i="26"/>
  <c r="H9" i="25" s="1"/>
  <c r="V15" i="26"/>
  <c r="G9" i="25" s="1"/>
  <c r="C23" i="26"/>
  <c r="W23" i="26" s="1"/>
  <c r="E22" i="26"/>
  <c r="C20" i="26"/>
  <c r="E25" i="26"/>
  <c r="B1" i="26"/>
  <c r="D12" i="8"/>
  <c r="C9" i="32" s="1"/>
  <c r="D11" i="8"/>
  <c r="C9" i="31" s="1"/>
  <c r="E24" i="26"/>
  <c r="E26" i="26"/>
  <c r="E23" i="26"/>
  <c r="B25" i="16"/>
  <c r="E18" i="34" s="1"/>
  <c r="B9" i="15"/>
  <c r="F9" i="14"/>
  <c r="E18" i="32" s="1"/>
  <c r="D17" i="25"/>
  <c r="C17" i="25"/>
  <c r="H28" i="25"/>
  <c r="B1" i="25"/>
  <c r="C44" i="25"/>
  <c r="G39" i="8"/>
  <c r="G45" i="8"/>
  <c r="G41" i="8"/>
  <c r="C45" i="8"/>
  <c r="C30" i="8"/>
  <c r="C36" i="8"/>
  <c r="C32" i="8"/>
  <c r="G36" i="8"/>
  <c r="G30" i="8"/>
  <c r="G27" i="8"/>
  <c r="G23" i="8"/>
  <c r="G21" i="8"/>
  <c r="C21" i="8"/>
  <c r="C27" i="8"/>
  <c r="E38" i="16"/>
  <c r="E37" i="16"/>
  <c r="E36" i="16"/>
  <c r="E34" i="16"/>
  <c r="E33" i="16"/>
  <c r="A31" i="16"/>
  <c r="E20" i="15"/>
  <c r="E20" i="16" s="1"/>
  <c r="E18" i="15"/>
  <c r="E17" i="15"/>
  <c r="F31" i="15"/>
  <c r="E31" i="15"/>
  <c r="E31" i="16" s="1"/>
  <c r="F48" i="16"/>
  <c r="E48" i="16"/>
  <c r="F31" i="16"/>
  <c r="F47" i="16"/>
  <c r="E47" i="16"/>
  <c r="F30" i="16"/>
  <c r="A30" i="16"/>
  <c r="F14" i="16"/>
  <c r="F30" i="15"/>
  <c r="E30" i="15"/>
  <c r="E30" i="16"/>
  <c r="F14" i="15"/>
  <c r="A14" i="15"/>
  <c r="A14" i="16" s="1"/>
  <c r="F14" i="14"/>
  <c r="E14" i="14"/>
  <c r="E14" i="15"/>
  <c r="E14" i="16" s="1"/>
  <c r="F44" i="16"/>
  <c r="E44" i="16"/>
  <c r="F28" i="16"/>
  <c r="A28" i="16"/>
  <c r="F28" i="15"/>
  <c r="E28" i="15"/>
  <c r="E28" i="16" s="1"/>
  <c r="E22" i="15"/>
  <c r="E22" i="16" s="1"/>
  <c r="E21" i="15"/>
  <c r="E21" i="16" s="1"/>
  <c r="A20" i="15"/>
  <c r="A20" i="16"/>
  <c r="A19" i="15"/>
  <c r="A19" i="16" s="1"/>
  <c r="A18" i="15"/>
  <c r="A18" i="16" s="1"/>
  <c r="A17" i="15"/>
  <c r="A17" i="16" s="1"/>
  <c r="A15" i="15"/>
  <c r="A15" i="16" s="1"/>
  <c r="A16" i="15"/>
  <c r="A16" i="16" s="1"/>
  <c r="A13" i="15"/>
  <c r="A13" i="16"/>
  <c r="A12" i="15"/>
  <c r="A12" i="16"/>
  <c r="A11" i="15"/>
  <c r="A11" i="16" s="1"/>
  <c r="E53" i="16"/>
  <c r="E49" i="16"/>
  <c r="E46" i="16"/>
  <c r="E45" i="16"/>
  <c r="E43" i="16"/>
  <c r="A36" i="16"/>
  <c r="A35" i="16"/>
  <c r="A34" i="16"/>
  <c r="A33" i="16"/>
  <c r="A32" i="16"/>
  <c r="A29" i="16"/>
  <c r="A27" i="16"/>
  <c r="E35" i="15"/>
  <c r="E35" i="16"/>
  <c r="E19" i="14"/>
  <c r="E19" i="15" s="1"/>
  <c r="E19" i="16" s="1"/>
  <c r="E15" i="14"/>
  <c r="E15" i="15" s="1"/>
  <c r="E15" i="16" s="1"/>
  <c r="E13" i="14"/>
  <c r="E13" i="15" s="1"/>
  <c r="E13" i="16" s="1"/>
  <c r="E12" i="14"/>
  <c r="E12" i="15" s="1"/>
  <c r="E12" i="16" s="1"/>
  <c r="E11" i="14"/>
  <c r="E11" i="15" s="1"/>
  <c r="E11" i="16" s="1"/>
  <c r="E29" i="15"/>
  <c r="E29" i="16" s="1"/>
  <c r="E27" i="15"/>
  <c r="E27" i="16" s="1"/>
  <c r="A25" i="16"/>
  <c r="A9" i="16"/>
  <c r="A9" i="15"/>
  <c r="F35" i="16"/>
  <c r="F29" i="16"/>
  <c r="F19" i="16"/>
  <c r="F15" i="16"/>
  <c r="F16" i="16"/>
  <c r="F13" i="16"/>
  <c r="F12" i="16"/>
  <c r="F11" i="16"/>
  <c r="F20" i="16" s="1"/>
  <c r="F19" i="15"/>
  <c r="F15" i="15"/>
  <c r="F16" i="15"/>
  <c r="F13" i="15"/>
  <c r="F12" i="15"/>
  <c r="F11" i="15"/>
  <c r="F15" i="14"/>
  <c r="F16" i="14"/>
  <c r="A1" i="14"/>
  <c r="A1" i="15" s="1"/>
  <c r="A1" i="16" s="1"/>
  <c r="F53" i="16"/>
  <c r="F46" i="16"/>
  <c r="F45" i="16"/>
  <c r="F35" i="15"/>
  <c r="F29" i="15"/>
  <c r="F19" i="14"/>
  <c r="F13" i="14"/>
  <c r="F12" i="14"/>
  <c r="F11" i="14"/>
  <c r="E32" i="15"/>
  <c r="E32" i="16" s="1"/>
  <c r="E16" i="14"/>
  <c r="E16" i="15" s="1"/>
  <c r="E16" i="16" s="1"/>
  <c r="F21" i="8"/>
  <c r="B9" i="16"/>
  <c r="F9" i="16"/>
  <c r="F25" i="16" s="1"/>
  <c r="F41" i="16" s="1"/>
  <c r="E18" i="16"/>
  <c r="E17" i="16"/>
  <c r="E23" i="32" l="1"/>
  <c r="E25" i="32"/>
  <c r="E26" i="32"/>
  <c r="E24" i="32"/>
  <c r="F9" i="15"/>
  <c r="F25" i="15" s="1"/>
  <c r="E18" i="33"/>
  <c r="E26" i="34"/>
  <c r="E25" i="34"/>
  <c r="E24" i="34"/>
  <c r="E23" i="34"/>
  <c r="F20" i="14"/>
  <c r="C29" i="34"/>
  <c r="C29" i="33"/>
  <c r="H38" i="33" s="1"/>
  <c r="T38" i="33" s="1"/>
  <c r="C29" i="31"/>
  <c r="H39" i="31" s="1"/>
  <c r="T39" i="31" s="1"/>
  <c r="H38" i="31"/>
  <c r="T38" i="31" s="1"/>
  <c r="C29" i="32"/>
  <c r="H44" i="32"/>
  <c r="T44" i="32" s="1"/>
  <c r="H39" i="32"/>
  <c r="T39" i="32" s="1"/>
  <c r="W25" i="33"/>
  <c r="S44" i="33" s="1"/>
  <c r="U44" i="33" s="1"/>
  <c r="W25" i="34"/>
  <c r="W25" i="31"/>
  <c r="S39" i="31" s="1"/>
  <c r="U39" i="31" s="1"/>
  <c r="S44" i="32"/>
  <c r="U44" i="32" s="1"/>
  <c r="W26" i="34"/>
  <c r="W26" i="31"/>
  <c r="S61" i="31" s="1"/>
  <c r="U61" i="31" s="1"/>
  <c r="S38" i="31"/>
  <c r="U38" i="31" s="1"/>
  <c r="S44" i="31"/>
  <c r="U44" i="31" s="1"/>
  <c r="S39" i="33"/>
  <c r="U39" i="33" s="1"/>
  <c r="F20" i="15"/>
  <c r="F21" i="15" s="1"/>
  <c r="B27" i="15" s="1"/>
  <c r="C25" i="33" s="1"/>
  <c r="D21" i="8"/>
  <c r="A1" i="33"/>
  <c r="A1" i="32"/>
  <c r="A1" i="34"/>
  <c r="A1" i="31"/>
  <c r="C8" i="26"/>
  <c r="C10" i="26" s="1"/>
  <c r="W25" i="26"/>
  <c r="S39" i="26" s="1"/>
  <c r="U39" i="26" s="1"/>
  <c r="C29" i="26"/>
  <c r="W26" i="26"/>
  <c r="S59" i="26" s="1"/>
  <c r="U59" i="26" s="1"/>
  <c r="U70" i="26"/>
  <c r="S48" i="26"/>
  <c r="U48" i="26" s="1"/>
  <c r="S41" i="26"/>
  <c r="U41" i="26" s="1"/>
  <c r="S45" i="26"/>
  <c r="U45" i="26" s="1"/>
  <c r="S49" i="26"/>
  <c r="U49" i="26" s="1"/>
  <c r="C26" i="26"/>
  <c r="C31" i="26" s="1"/>
  <c r="S46" i="26"/>
  <c r="U46" i="26" s="1"/>
  <c r="P68" i="26"/>
  <c r="S40" i="26"/>
  <c r="U40" i="26" s="1"/>
  <c r="S43" i="26"/>
  <c r="U43" i="26" s="1"/>
  <c r="S47" i="26"/>
  <c r="U47" i="26" s="1"/>
  <c r="P41" i="26"/>
  <c r="P45" i="26"/>
  <c r="P49" i="26"/>
  <c r="P42" i="26"/>
  <c r="P46" i="26"/>
  <c r="P44" i="26"/>
  <c r="P48" i="26"/>
  <c r="P43" i="26"/>
  <c r="P47" i="26"/>
  <c r="C42" i="8"/>
  <c r="G33" i="8"/>
  <c r="F21" i="14"/>
  <c r="F22" i="14"/>
  <c r="B17" i="14" s="1"/>
  <c r="B18" i="14" s="1"/>
  <c r="C18" i="32" s="1"/>
  <c r="F21" i="16"/>
  <c r="B27" i="16" s="1"/>
  <c r="F22" i="16"/>
  <c r="F22" i="15"/>
  <c r="A1" i="26"/>
  <c r="P40" i="26"/>
  <c r="D69" i="26"/>
  <c r="E10" i="8" s="1"/>
  <c r="B44" i="25"/>
  <c r="E24" i="33" l="1"/>
  <c r="E25" i="33"/>
  <c r="E23" i="33"/>
  <c r="E26" i="33"/>
  <c r="S42" i="26"/>
  <c r="U42" i="26" s="1"/>
  <c r="H39" i="26"/>
  <c r="T39" i="26" s="1"/>
  <c r="H42" i="26"/>
  <c r="T42" i="26" s="1"/>
  <c r="H38" i="34"/>
  <c r="T38" i="34" s="1"/>
  <c r="U38" i="34" s="1"/>
  <c r="H42" i="34"/>
  <c r="T42" i="34" s="1"/>
  <c r="U42" i="34" s="1"/>
  <c r="S38" i="34"/>
  <c r="S66" i="34" s="1"/>
  <c r="S42" i="34"/>
  <c r="H38" i="32"/>
  <c r="T38" i="32" s="1"/>
  <c r="H40" i="32"/>
  <c r="T40" i="32" s="1"/>
  <c r="H66" i="34"/>
  <c r="S59" i="34"/>
  <c r="S58" i="34"/>
  <c r="S60" i="34"/>
  <c r="S54" i="34"/>
  <c r="S61" i="34"/>
  <c r="S56" i="34"/>
  <c r="S55" i="34"/>
  <c r="S57" i="34"/>
  <c r="S63" i="34"/>
  <c r="S62" i="34"/>
  <c r="S64" i="34"/>
  <c r="S60" i="31"/>
  <c r="U60" i="31" s="1"/>
  <c r="S59" i="31"/>
  <c r="U59" i="31" s="1"/>
  <c r="S58" i="31"/>
  <c r="U58" i="31" s="1"/>
  <c r="I49" i="26"/>
  <c r="S53" i="34"/>
  <c r="S67" i="31"/>
  <c r="S64" i="26"/>
  <c r="U64" i="26" s="1"/>
  <c r="S38" i="32"/>
  <c r="U38" i="32" s="1"/>
  <c r="S67" i="32"/>
  <c r="H38" i="26"/>
  <c r="T38" i="26" s="1"/>
  <c r="S39" i="32"/>
  <c r="U39" i="32" s="1"/>
  <c r="S55" i="26"/>
  <c r="U55" i="26" s="1"/>
  <c r="S62" i="26"/>
  <c r="U62" i="26" s="1"/>
  <c r="S54" i="26"/>
  <c r="U54" i="26" s="1"/>
  <c r="S60" i="26"/>
  <c r="U60" i="26" s="1"/>
  <c r="S62" i="31"/>
  <c r="U62" i="31" s="1"/>
  <c r="S57" i="31"/>
  <c r="U57" i="31" s="1"/>
  <c r="S38" i="33"/>
  <c r="S64" i="31"/>
  <c r="U64" i="31" s="1"/>
  <c r="C30" i="34"/>
  <c r="H67" i="32"/>
  <c r="T67" i="32"/>
  <c r="H39" i="33"/>
  <c r="T39" i="33" s="1"/>
  <c r="S61" i="26"/>
  <c r="U61" i="26" s="1"/>
  <c r="S63" i="26"/>
  <c r="U63" i="26" s="1"/>
  <c r="S57" i="26"/>
  <c r="U57" i="26" s="1"/>
  <c r="S56" i="31"/>
  <c r="U56" i="31" s="1"/>
  <c r="S63" i="31"/>
  <c r="U63" i="31" s="1"/>
  <c r="S54" i="31"/>
  <c r="U54" i="31" s="1"/>
  <c r="S53" i="31"/>
  <c r="U53" i="31" s="1"/>
  <c r="H44" i="31"/>
  <c r="H44" i="33"/>
  <c r="T44" i="33" s="1"/>
  <c r="I38" i="31"/>
  <c r="S55" i="31"/>
  <c r="U55" i="31" s="1"/>
  <c r="I39" i="31"/>
  <c r="H67" i="34"/>
  <c r="C23" i="32"/>
  <c r="C20" i="32"/>
  <c r="S44" i="26"/>
  <c r="U44" i="26" s="1"/>
  <c r="H44" i="26"/>
  <c r="T44" i="26" s="1"/>
  <c r="S38" i="26"/>
  <c r="S58" i="26"/>
  <c r="U58" i="26" s="1"/>
  <c r="S56" i="26"/>
  <c r="U56" i="26" s="1"/>
  <c r="S53" i="26"/>
  <c r="U53" i="26" s="1"/>
  <c r="I48" i="26"/>
  <c r="I45" i="26"/>
  <c r="I41" i="26"/>
  <c r="I40" i="26"/>
  <c r="I46" i="26"/>
  <c r="I47" i="26"/>
  <c r="I39" i="26"/>
  <c r="I43" i="26"/>
  <c r="C24" i="8"/>
  <c r="D23" i="8" s="1"/>
  <c r="H11" i="8"/>
  <c r="B17" i="16"/>
  <c r="B18" i="16" s="1"/>
  <c r="B20" i="16" s="1"/>
  <c r="B32" i="16"/>
  <c r="F32" i="16" s="1"/>
  <c r="F27" i="16"/>
  <c r="B17" i="15"/>
  <c r="B18" i="15" s="1"/>
  <c r="B20" i="15" s="1"/>
  <c r="B32" i="15"/>
  <c r="C24" i="33" s="1"/>
  <c r="B20" i="14"/>
  <c r="F27" i="15"/>
  <c r="H12" i="8"/>
  <c r="N12" i="8" s="1"/>
  <c r="E15" i="8"/>
  <c r="H15" i="8" s="1"/>
  <c r="A1" i="25"/>
  <c r="A1" i="18" s="1"/>
  <c r="C12" i="26"/>
  <c r="C14" i="26" s="1"/>
  <c r="D44" i="25"/>
  <c r="U38" i="33" l="1"/>
  <c r="U68" i="31"/>
  <c r="U69" i="31" s="1"/>
  <c r="S66" i="26"/>
  <c r="U38" i="26"/>
  <c r="I42" i="26"/>
  <c r="T66" i="34"/>
  <c r="H67" i="31"/>
  <c r="T44" i="31"/>
  <c r="T66" i="26"/>
  <c r="H66" i="26"/>
  <c r="H59" i="34"/>
  <c r="T59" i="34" s="1"/>
  <c r="U59" i="34" s="1"/>
  <c r="H58" i="34"/>
  <c r="H60" i="34"/>
  <c r="T60" i="34" s="1"/>
  <c r="U60" i="34" s="1"/>
  <c r="H54" i="34"/>
  <c r="T54" i="34" s="1"/>
  <c r="U54" i="34" s="1"/>
  <c r="H61" i="34"/>
  <c r="H56" i="34"/>
  <c r="T56" i="34" s="1"/>
  <c r="U56" i="34" s="1"/>
  <c r="H55" i="34"/>
  <c r="H57" i="34"/>
  <c r="T57" i="34" s="1"/>
  <c r="U57" i="34" s="1"/>
  <c r="H63" i="34"/>
  <c r="T63" i="34" s="1"/>
  <c r="U63" i="34" s="1"/>
  <c r="H62" i="34"/>
  <c r="I38" i="26"/>
  <c r="E63" i="26"/>
  <c r="F36" i="16"/>
  <c r="F37" i="16" s="1"/>
  <c r="B43" i="16" s="1"/>
  <c r="C25" i="34" s="1"/>
  <c r="C30" i="31"/>
  <c r="H53" i="31" s="1"/>
  <c r="S68" i="34"/>
  <c r="H67" i="26"/>
  <c r="I44" i="26"/>
  <c r="I67" i="26" s="1"/>
  <c r="H53" i="34"/>
  <c r="H64" i="34"/>
  <c r="S67" i="26"/>
  <c r="S68" i="31"/>
  <c r="S69" i="31" s="1"/>
  <c r="T67" i="31"/>
  <c r="I44" i="31"/>
  <c r="I67" i="31"/>
  <c r="S67" i="34"/>
  <c r="T67" i="34"/>
  <c r="C26" i="32"/>
  <c r="W23" i="32"/>
  <c r="E67" i="31"/>
  <c r="E66" i="32"/>
  <c r="E66" i="31"/>
  <c r="T67" i="26"/>
  <c r="C30" i="26"/>
  <c r="U66" i="26"/>
  <c r="AE63" i="26"/>
  <c r="AB63" i="26"/>
  <c r="E64" i="26"/>
  <c r="F32" i="15"/>
  <c r="F36" i="15" s="1"/>
  <c r="F38" i="16"/>
  <c r="E58" i="26"/>
  <c r="E48" i="26"/>
  <c r="E61" i="26"/>
  <c r="E42" i="26"/>
  <c r="E56" i="26"/>
  <c r="E46" i="26"/>
  <c r="E57" i="26"/>
  <c r="E53" i="26"/>
  <c r="E41" i="26"/>
  <c r="E49" i="26"/>
  <c r="E43" i="26"/>
  <c r="E60" i="26"/>
  <c r="E54" i="26"/>
  <c r="E59" i="26"/>
  <c r="E45" i="26"/>
  <c r="E39" i="26"/>
  <c r="E40" i="26"/>
  <c r="E47" i="26"/>
  <c r="E44" i="26"/>
  <c r="E55" i="26"/>
  <c r="E62" i="26"/>
  <c r="V40" i="31" l="1"/>
  <c r="V42" i="31"/>
  <c r="V38" i="31"/>
  <c r="V48" i="31"/>
  <c r="V43" i="31"/>
  <c r="V46" i="31"/>
  <c r="V41" i="31"/>
  <c r="V44" i="31"/>
  <c r="V39" i="31"/>
  <c r="V49" i="31"/>
  <c r="V45" i="31"/>
  <c r="V47" i="31"/>
  <c r="U67" i="34"/>
  <c r="U66" i="34"/>
  <c r="AC53" i="26"/>
  <c r="Z53" i="26"/>
  <c r="AC56" i="26"/>
  <c r="AE56" i="26" s="1"/>
  <c r="Z56" i="26"/>
  <c r="AB56" i="26" s="1"/>
  <c r="I66" i="26"/>
  <c r="AD38" i="26"/>
  <c r="AA38" i="26"/>
  <c r="T58" i="34"/>
  <c r="U58" i="34" s="1"/>
  <c r="T61" i="34"/>
  <c r="U61" i="34" s="1"/>
  <c r="T55" i="34"/>
  <c r="U55" i="34" s="1"/>
  <c r="T62" i="34"/>
  <c r="U62" i="34" s="1"/>
  <c r="H62" i="31"/>
  <c r="I62" i="31" s="1"/>
  <c r="H61" i="31"/>
  <c r="T61" i="31" s="1"/>
  <c r="AC39" i="26"/>
  <c r="AE39" i="26" s="1"/>
  <c r="Z39" i="26"/>
  <c r="AB39" i="26" s="1"/>
  <c r="H54" i="31"/>
  <c r="T54" i="31" s="1"/>
  <c r="H55" i="31"/>
  <c r="I55" i="31" s="1"/>
  <c r="H60" i="31"/>
  <c r="I60" i="31" s="1"/>
  <c r="H64" i="31"/>
  <c r="T64" i="31" s="1"/>
  <c r="H57" i="31"/>
  <c r="I57" i="31" s="1"/>
  <c r="H56" i="31"/>
  <c r="T56" i="31" s="1"/>
  <c r="S69" i="34"/>
  <c r="H63" i="31"/>
  <c r="T63" i="31" s="1"/>
  <c r="H58" i="31"/>
  <c r="I58" i="31" s="1"/>
  <c r="H59" i="31"/>
  <c r="T59" i="31" s="1"/>
  <c r="T53" i="34"/>
  <c r="U53" i="34" s="1"/>
  <c r="T53" i="31"/>
  <c r="I53" i="31"/>
  <c r="H68" i="34"/>
  <c r="H69" i="34" s="1"/>
  <c r="U70" i="34" s="1"/>
  <c r="U71" i="34" s="1"/>
  <c r="K21" i="33" s="1"/>
  <c r="T64" i="34"/>
  <c r="U64" i="34" s="1"/>
  <c r="U70" i="32"/>
  <c r="U71" i="32" s="1"/>
  <c r="K21" i="31" s="1"/>
  <c r="W26" i="32"/>
  <c r="C31" i="32"/>
  <c r="C30" i="32"/>
  <c r="AC67" i="34"/>
  <c r="Z66" i="32"/>
  <c r="AC67" i="32"/>
  <c r="Z66" i="31"/>
  <c r="Z67" i="34"/>
  <c r="AC66" i="34"/>
  <c r="AC66" i="31"/>
  <c r="Z66" i="34"/>
  <c r="Z67" i="31"/>
  <c r="Z67" i="32"/>
  <c r="AC66" i="32"/>
  <c r="AC67" i="31"/>
  <c r="H53" i="26"/>
  <c r="T53" i="26" s="1"/>
  <c r="H60" i="26"/>
  <c r="H64" i="26"/>
  <c r="T64" i="26" s="1"/>
  <c r="H63" i="26"/>
  <c r="H55" i="26"/>
  <c r="T55" i="26" s="1"/>
  <c r="H62" i="26"/>
  <c r="T62" i="26" s="1"/>
  <c r="H58" i="26"/>
  <c r="H57" i="26"/>
  <c r="H61" i="26"/>
  <c r="T61" i="26" s="1"/>
  <c r="H54" i="26"/>
  <c r="H56" i="26"/>
  <c r="H59" i="26"/>
  <c r="S68" i="26"/>
  <c r="S69" i="26" s="1"/>
  <c r="M63" i="26"/>
  <c r="E68" i="26"/>
  <c r="AB57" i="26"/>
  <c r="AE57" i="26"/>
  <c r="AB61" i="26"/>
  <c r="AE61" i="26"/>
  <c r="AB59" i="26"/>
  <c r="AE59" i="26"/>
  <c r="AB62" i="26"/>
  <c r="AE62" i="26"/>
  <c r="AB54" i="26"/>
  <c r="AE54" i="26"/>
  <c r="AB58" i="26"/>
  <c r="AE58" i="26"/>
  <c r="AB64" i="26"/>
  <c r="AE64" i="26"/>
  <c r="N63" i="26"/>
  <c r="AB55" i="26"/>
  <c r="AE55" i="26"/>
  <c r="AB60" i="26"/>
  <c r="AE60" i="26"/>
  <c r="AB44" i="26"/>
  <c r="AE44" i="26"/>
  <c r="AB43" i="26"/>
  <c r="AE43" i="26"/>
  <c r="AB49" i="26"/>
  <c r="AE49" i="26"/>
  <c r="AB48" i="26"/>
  <c r="AE48" i="26"/>
  <c r="AB41" i="26"/>
  <c r="AE41" i="26"/>
  <c r="AB45" i="26"/>
  <c r="AE45" i="26"/>
  <c r="AB47" i="26"/>
  <c r="AE47" i="26"/>
  <c r="AB46" i="26"/>
  <c r="AE46" i="26"/>
  <c r="AB42" i="26"/>
  <c r="AE42" i="26"/>
  <c r="B33" i="16"/>
  <c r="B34" i="16" s="1"/>
  <c r="B36" i="16" s="1"/>
  <c r="B49" i="16"/>
  <c r="C24" i="34" s="1"/>
  <c r="B50" i="16"/>
  <c r="C18" i="34" s="1"/>
  <c r="F43" i="16"/>
  <c r="F37" i="15"/>
  <c r="F38" i="15"/>
  <c r="B33" i="15" s="1"/>
  <c r="B34" i="15" s="1"/>
  <c r="C18" i="33" s="1"/>
  <c r="AD66" i="26" l="1"/>
  <c r="AD67" i="26"/>
  <c r="AA66" i="26"/>
  <c r="AA67" i="26"/>
  <c r="U68" i="34"/>
  <c r="U69" i="34" s="1"/>
  <c r="I61" i="31"/>
  <c r="T62" i="31"/>
  <c r="I54" i="31"/>
  <c r="I64" i="31"/>
  <c r="T60" i="31"/>
  <c r="T55" i="31"/>
  <c r="T57" i="31"/>
  <c r="I64" i="26"/>
  <c r="I56" i="31"/>
  <c r="H68" i="31"/>
  <c r="H69" i="31" s="1"/>
  <c r="I59" i="31"/>
  <c r="I63" i="31"/>
  <c r="T58" i="31"/>
  <c r="C23" i="34"/>
  <c r="C26" i="34" s="1"/>
  <c r="C20" i="34"/>
  <c r="T68" i="34"/>
  <c r="T69" i="34" s="1"/>
  <c r="C23" i="33"/>
  <c r="C20" i="33"/>
  <c r="H57" i="32"/>
  <c r="H56" i="32"/>
  <c r="H62" i="32"/>
  <c r="H64" i="32"/>
  <c r="H59" i="32"/>
  <c r="H54" i="32"/>
  <c r="H61" i="32"/>
  <c r="H60" i="32"/>
  <c r="H55" i="32"/>
  <c r="H53" i="32"/>
  <c r="H63" i="32"/>
  <c r="H58" i="32"/>
  <c r="I41" i="32"/>
  <c r="I48" i="32"/>
  <c r="I47" i="32"/>
  <c r="I46" i="32"/>
  <c r="I40" i="32"/>
  <c r="I66" i="32" s="1"/>
  <c r="I43" i="32"/>
  <c r="I42" i="32"/>
  <c r="I45" i="32"/>
  <c r="I49" i="32"/>
  <c r="I38" i="32"/>
  <c r="I39" i="32"/>
  <c r="I44" i="32"/>
  <c r="S53" i="32"/>
  <c r="U53" i="32" s="1"/>
  <c r="S56" i="32"/>
  <c r="U56" i="32" s="1"/>
  <c r="S57" i="32"/>
  <c r="U57" i="32" s="1"/>
  <c r="S54" i="32"/>
  <c r="U54" i="32" s="1"/>
  <c r="S62" i="32"/>
  <c r="U62" i="32" s="1"/>
  <c r="S60" i="32"/>
  <c r="U60" i="32" s="1"/>
  <c r="S58" i="32"/>
  <c r="U58" i="32" s="1"/>
  <c r="S55" i="32"/>
  <c r="U55" i="32" s="1"/>
  <c r="S64" i="32"/>
  <c r="U64" i="32" s="1"/>
  <c r="S61" i="32"/>
  <c r="U61" i="32" s="1"/>
  <c r="S63" i="32"/>
  <c r="U63" i="32" s="1"/>
  <c r="S59" i="32"/>
  <c r="U59" i="32" s="1"/>
  <c r="I62" i="26"/>
  <c r="I61" i="26"/>
  <c r="I55" i="26"/>
  <c r="I53" i="26"/>
  <c r="AE66" i="34"/>
  <c r="AE66" i="32"/>
  <c r="AE66" i="31"/>
  <c r="AE67" i="34"/>
  <c r="AE67" i="31"/>
  <c r="T63" i="26"/>
  <c r="I63" i="26"/>
  <c r="T56" i="26"/>
  <c r="I56" i="26"/>
  <c r="T58" i="26"/>
  <c r="I58" i="26"/>
  <c r="T59" i="26"/>
  <c r="I59" i="26"/>
  <c r="T54" i="26"/>
  <c r="I54" i="26"/>
  <c r="T60" i="26"/>
  <c r="I60" i="26"/>
  <c r="T57" i="26"/>
  <c r="I57" i="26"/>
  <c r="Z68" i="26"/>
  <c r="U68" i="26"/>
  <c r="AB40" i="26"/>
  <c r="AE40" i="26"/>
  <c r="AC68" i="26"/>
  <c r="M64" i="26"/>
  <c r="M56" i="26"/>
  <c r="M62" i="26"/>
  <c r="M60" i="26"/>
  <c r="M61" i="26"/>
  <c r="M55" i="26"/>
  <c r="M58" i="26"/>
  <c r="M54" i="26"/>
  <c r="M59" i="26"/>
  <c r="M57" i="26"/>
  <c r="H68" i="26"/>
  <c r="H69" i="26" s="1"/>
  <c r="N64" i="26"/>
  <c r="B36" i="15"/>
  <c r="B52" i="16"/>
  <c r="F49" i="16"/>
  <c r="F54" i="16" s="1"/>
  <c r="N56" i="26"/>
  <c r="N55" i="26"/>
  <c r="N61" i="26"/>
  <c r="N62" i="26"/>
  <c r="N57" i="26"/>
  <c r="N60" i="26"/>
  <c r="N58" i="26"/>
  <c r="N54" i="26"/>
  <c r="N59" i="26"/>
  <c r="AB53" i="26"/>
  <c r="AB68" i="26" s="1"/>
  <c r="AE53" i="26"/>
  <c r="AE68" i="26" s="1"/>
  <c r="U68" i="32" l="1"/>
  <c r="U69" i="32" s="1"/>
  <c r="AD69" i="26"/>
  <c r="AA69" i="26"/>
  <c r="V44" i="34"/>
  <c r="Y44" i="34" s="1"/>
  <c r="V38" i="34"/>
  <c r="V66" i="34" s="1"/>
  <c r="V43" i="34"/>
  <c r="Y43" i="34" s="1"/>
  <c r="V45" i="34"/>
  <c r="Y45" i="34" s="1"/>
  <c r="V46" i="34"/>
  <c r="Y46" i="34" s="1"/>
  <c r="V41" i="34"/>
  <c r="Y41" i="34" s="1"/>
  <c r="V48" i="34"/>
  <c r="Y48" i="34" s="1"/>
  <c r="V39" i="34"/>
  <c r="Y39" i="34" s="1"/>
  <c r="V42" i="34"/>
  <c r="Y42" i="34" s="1"/>
  <c r="V49" i="34"/>
  <c r="V47" i="34"/>
  <c r="Y47" i="34" s="1"/>
  <c r="V40" i="34"/>
  <c r="Y40" i="34" s="1"/>
  <c r="T68" i="31"/>
  <c r="T69" i="31" s="1"/>
  <c r="I68" i="31"/>
  <c r="I69" i="31" s="1"/>
  <c r="C31" i="34"/>
  <c r="I43" i="34" s="1"/>
  <c r="C26" i="33"/>
  <c r="W23" i="33"/>
  <c r="T60" i="32"/>
  <c r="I60" i="32"/>
  <c r="T64" i="32"/>
  <c r="I64" i="32"/>
  <c r="I67" i="32"/>
  <c r="H68" i="32"/>
  <c r="H69" i="32" s="1"/>
  <c r="T53" i="32"/>
  <c r="I53" i="32"/>
  <c r="I54" i="32"/>
  <c r="T54" i="32"/>
  <c r="I56" i="32"/>
  <c r="T56" i="32"/>
  <c r="I58" i="32"/>
  <c r="T58" i="32"/>
  <c r="I63" i="32"/>
  <c r="T63" i="32"/>
  <c r="T61" i="32"/>
  <c r="I61" i="32"/>
  <c r="T62" i="32"/>
  <c r="I62" i="32"/>
  <c r="S68" i="32"/>
  <c r="S69" i="32" s="1"/>
  <c r="T55" i="32"/>
  <c r="I55" i="32"/>
  <c r="T59" i="32"/>
  <c r="I59" i="32"/>
  <c r="I57" i="32"/>
  <c r="T57" i="32"/>
  <c r="T68" i="26"/>
  <c r="T69" i="26" s="1"/>
  <c r="I68" i="26"/>
  <c r="I69" i="26" s="1"/>
  <c r="O67" i="34"/>
  <c r="N66" i="34"/>
  <c r="N67" i="31"/>
  <c r="O66" i="32"/>
  <c r="O66" i="34"/>
  <c r="N66" i="31"/>
  <c r="O67" i="31"/>
  <c r="N67" i="34"/>
  <c r="O66" i="31"/>
  <c r="N66" i="32"/>
  <c r="M53" i="26"/>
  <c r="N53" i="26"/>
  <c r="N68" i="26" s="1"/>
  <c r="M39" i="26"/>
  <c r="O39" i="26"/>
  <c r="N39" i="26"/>
  <c r="V46" i="32" l="1"/>
  <c r="V47" i="32"/>
  <c r="V39" i="32"/>
  <c r="V45" i="32"/>
  <c r="V40" i="32"/>
  <c r="V66" i="32" s="1"/>
  <c r="V69" i="32" s="1"/>
  <c r="W16" i="32" s="1"/>
  <c r="W17" i="32" s="1"/>
  <c r="V38" i="32"/>
  <c r="V41" i="32"/>
  <c r="V48" i="32"/>
  <c r="V49" i="32"/>
  <c r="V42" i="32"/>
  <c r="V43" i="32"/>
  <c r="V44" i="32"/>
  <c r="Y38" i="34"/>
  <c r="V67" i="34"/>
  <c r="V69" i="34" s="1"/>
  <c r="W16" i="34" s="1"/>
  <c r="W17" i="34" s="1"/>
  <c r="I40" i="34"/>
  <c r="I39" i="34"/>
  <c r="I41" i="34"/>
  <c r="I42" i="34"/>
  <c r="I46" i="34"/>
  <c r="I44" i="34"/>
  <c r="I45" i="34"/>
  <c r="I48" i="34"/>
  <c r="I47" i="34"/>
  <c r="I38" i="34"/>
  <c r="I59" i="34"/>
  <c r="I58" i="34"/>
  <c r="I60" i="34"/>
  <c r="I54" i="34"/>
  <c r="I61" i="34"/>
  <c r="I56" i="34"/>
  <c r="I55" i="34"/>
  <c r="I57" i="34"/>
  <c r="I63" i="34"/>
  <c r="I62" i="34"/>
  <c r="I66" i="34"/>
  <c r="I49" i="34"/>
  <c r="I67" i="34"/>
  <c r="I53" i="34"/>
  <c r="I64" i="34"/>
  <c r="U70" i="33"/>
  <c r="U71" i="33" s="1"/>
  <c r="K21" i="32" s="1"/>
  <c r="K41" i="32" s="1"/>
  <c r="C31" i="33"/>
  <c r="I68" i="32"/>
  <c r="I69" i="32" s="1"/>
  <c r="T68" i="32"/>
  <c r="T69" i="32" s="1"/>
  <c r="X66" i="32"/>
  <c r="Y66" i="32"/>
  <c r="O69" i="33"/>
  <c r="O69" i="34"/>
  <c r="O69" i="31"/>
  <c r="S41" i="32" l="1"/>
  <c r="U41" i="32" s="1"/>
  <c r="T41" i="32"/>
  <c r="I42" i="33"/>
  <c r="I68" i="34"/>
  <c r="I69" i="34" s="1"/>
  <c r="H64" i="33"/>
  <c r="H59" i="33"/>
  <c r="H54" i="33"/>
  <c r="H60" i="33"/>
  <c r="H53" i="33"/>
  <c r="H63" i="33"/>
  <c r="H55" i="33"/>
  <c r="H61" i="33"/>
  <c r="H56" i="33"/>
  <c r="H62" i="33"/>
  <c r="H57" i="33"/>
  <c r="H58" i="33"/>
  <c r="I38" i="33"/>
  <c r="I45" i="33"/>
  <c r="I46" i="33"/>
  <c r="I48" i="33"/>
  <c r="I40" i="33"/>
  <c r="I47" i="33"/>
  <c r="I49" i="33"/>
  <c r="I41" i="33"/>
  <c r="I43" i="33"/>
  <c r="I39" i="33"/>
  <c r="I44" i="33"/>
  <c r="S60" i="33"/>
  <c r="U60" i="33" s="1"/>
  <c r="S62" i="33"/>
  <c r="U62" i="33" s="1"/>
  <c r="S53" i="33"/>
  <c r="U53" i="33" s="1"/>
  <c r="S55" i="33"/>
  <c r="U55" i="33" s="1"/>
  <c r="S56" i="33"/>
  <c r="U56" i="33" s="1"/>
  <c r="S54" i="33"/>
  <c r="U54" i="33" s="1"/>
  <c r="S61" i="33"/>
  <c r="U61" i="33" s="1"/>
  <c r="S59" i="33"/>
  <c r="U59" i="33" s="1"/>
  <c r="S64" i="33"/>
  <c r="U64" i="33" s="1"/>
  <c r="S57" i="33"/>
  <c r="U57" i="33" s="1"/>
  <c r="S58" i="33"/>
  <c r="U58" i="33" s="1"/>
  <c r="S63" i="33"/>
  <c r="U63" i="33" s="1"/>
  <c r="U68" i="33" l="1"/>
  <c r="U69" i="33" s="1"/>
  <c r="I58" i="33"/>
  <c r="T58" i="33"/>
  <c r="I61" i="33"/>
  <c r="T61" i="33"/>
  <c r="I60" i="33"/>
  <c r="T60" i="33"/>
  <c r="S68" i="33"/>
  <c r="S69" i="33" s="1"/>
  <c r="T57" i="33"/>
  <c r="I57" i="33"/>
  <c r="T55" i="33"/>
  <c r="I55" i="33"/>
  <c r="I54" i="33"/>
  <c r="T54" i="33"/>
  <c r="I62" i="33"/>
  <c r="T62" i="33"/>
  <c r="T63" i="33"/>
  <c r="I63" i="33"/>
  <c r="T59" i="33"/>
  <c r="I59" i="33"/>
  <c r="I56" i="33"/>
  <c r="T56" i="33"/>
  <c r="H68" i="33"/>
  <c r="H69" i="33" s="1"/>
  <c r="I53" i="33"/>
  <c r="T53" i="33"/>
  <c r="T64" i="33"/>
  <c r="I64" i="33"/>
  <c r="V45" i="33" l="1"/>
  <c r="V39" i="33"/>
  <c r="V38" i="33"/>
  <c r="V49" i="33"/>
  <c r="V44" i="33"/>
  <c r="V48" i="33"/>
  <c r="V46" i="33"/>
  <c r="V40" i="33"/>
  <c r="V69" i="33" s="1"/>
  <c r="W16" i="33" s="1"/>
  <c r="V42" i="33"/>
  <c r="Y42" i="33" s="1"/>
  <c r="V41" i="33"/>
  <c r="V47" i="33"/>
  <c r="V43" i="33"/>
  <c r="I68" i="33"/>
  <c r="I69" i="33" s="1"/>
  <c r="T68" i="33"/>
  <c r="T69" i="33" s="1"/>
  <c r="N40" i="26"/>
  <c r="N43" i="26" l="1"/>
  <c r="M43" i="26"/>
  <c r="N41" i="26"/>
  <c r="M41" i="26"/>
  <c r="O47" i="26"/>
  <c r="M47" i="26"/>
  <c r="N49" i="26"/>
  <c r="M49" i="26"/>
  <c r="N48" i="26"/>
  <c r="M48" i="26"/>
  <c r="O42" i="26"/>
  <c r="M42" i="26"/>
  <c r="N46" i="26"/>
  <c r="M46" i="26"/>
  <c r="N44" i="26"/>
  <c r="M44" i="26"/>
  <c r="N45" i="26"/>
  <c r="M45" i="26"/>
  <c r="O40" i="26"/>
  <c r="M40" i="26"/>
  <c r="O49" i="26"/>
  <c r="O46" i="26"/>
  <c r="O43" i="26"/>
  <c r="N47" i="26"/>
  <c r="O45" i="26"/>
  <c r="O48" i="26"/>
  <c r="O41" i="26"/>
  <c r="N42" i="26"/>
  <c r="O44" i="26"/>
  <c r="N11" i="8" l="1"/>
  <c r="P11" i="8" l="1"/>
  <c r="C8" i="31" s="1"/>
  <c r="C10" i="31" s="1"/>
  <c r="C14" i="31" s="1"/>
  <c r="O11" i="8"/>
  <c r="P38" i="26"/>
  <c r="P66" i="26" s="1"/>
  <c r="B47" i="25"/>
  <c r="E38" i="26"/>
  <c r="AC38" i="26" l="1"/>
  <c r="AC66" i="26" s="1"/>
  <c r="Z38" i="26"/>
  <c r="Z66" i="26" s="1"/>
  <c r="E41" i="31"/>
  <c r="E62" i="31"/>
  <c r="E46" i="31"/>
  <c r="E48" i="31"/>
  <c r="E53" i="31"/>
  <c r="E55" i="31"/>
  <c r="E54" i="31"/>
  <c r="E42" i="31"/>
  <c r="E61" i="31"/>
  <c r="E57" i="31"/>
  <c r="E64" i="31"/>
  <c r="E59" i="31"/>
  <c r="E47" i="31"/>
  <c r="E40" i="31"/>
  <c r="E43" i="31"/>
  <c r="E56" i="31"/>
  <c r="E49" i="31"/>
  <c r="E39" i="31"/>
  <c r="E60" i="31"/>
  <c r="E45" i="31"/>
  <c r="E44" i="31"/>
  <c r="E58" i="31"/>
  <c r="E38" i="31"/>
  <c r="E63" i="31"/>
  <c r="P67" i="26"/>
  <c r="P69" i="26" s="1"/>
  <c r="U67" i="26"/>
  <c r="U69" i="26" s="1"/>
  <c r="E67" i="26"/>
  <c r="E66" i="26"/>
  <c r="Z67" i="26"/>
  <c r="H10" i="8"/>
  <c r="N10" i="8" s="1"/>
  <c r="AC67" i="26" l="1"/>
  <c r="AC69" i="26" s="1"/>
  <c r="Z69" i="26"/>
  <c r="U71" i="26"/>
  <c r="Q48" i="26"/>
  <c r="X48" i="26" s="1"/>
  <c r="AB63" i="31"/>
  <c r="AE63" i="31"/>
  <c r="AE45" i="31"/>
  <c r="AB45" i="31"/>
  <c r="AB56" i="31"/>
  <c r="AE56" i="31"/>
  <c r="AE59" i="31"/>
  <c r="AB59" i="31"/>
  <c r="AE42" i="31"/>
  <c r="AB42" i="31"/>
  <c r="AB48" i="31"/>
  <c r="AE48" i="31"/>
  <c r="AB38" i="31"/>
  <c r="AB67" i="31" s="1"/>
  <c r="AE38" i="31"/>
  <c r="AB60" i="31"/>
  <c r="AE60" i="31"/>
  <c r="AB43" i="31"/>
  <c r="AE43" i="31"/>
  <c r="AB64" i="31"/>
  <c r="AE64" i="31"/>
  <c r="AE54" i="31"/>
  <c r="AB54" i="31"/>
  <c r="AE46" i="31"/>
  <c r="AB46" i="31"/>
  <c r="AB58" i="31"/>
  <c r="AE58" i="31"/>
  <c r="AB39" i="31"/>
  <c r="AE39" i="31"/>
  <c r="AB40" i="31"/>
  <c r="AB66" i="31" s="1"/>
  <c r="AE40" i="31"/>
  <c r="AE57" i="31"/>
  <c r="AB57" i="31"/>
  <c r="AB55" i="31"/>
  <c r="AE55" i="31"/>
  <c r="AE62" i="31"/>
  <c r="AB62" i="31"/>
  <c r="AB44" i="31"/>
  <c r="AE44" i="31"/>
  <c r="AE49" i="31"/>
  <c r="AB49" i="31"/>
  <c r="AB47" i="31"/>
  <c r="AE47" i="31"/>
  <c r="AE61" i="31"/>
  <c r="AB61" i="31"/>
  <c r="E68" i="31"/>
  <c r="E69" i="31" s="1"/>
  <c r="AE41" i="31"/>
  <c r="AB41" i="31"/>
  <c r="Q64" i="26"/>
  <c r="X64" i="26" s="1"/>
  <c r="Q59" i="26"/>
  <c r="X59" i="26" s="1"/>
  <c r="Q42" i="26"/>
  <c r="X42" i="26" s="1"/>
  <c r="Q43" i="26"/>
  <c r="X43" i="26" s="1"/>
  <c r="Q53" i="26"/>
  <c r="Q38" i="26"/>
  <c r="Q61" i="26"/>
  <c r="X61" i="26" s="1"/>
  <c r="Q62" i="26"/>
  <c r="X62" i="26" s="1"/>
  <c r="Q40" i="26"/>
  <c r="Q44" i="26"/>
  <c r="X44" i="26" s="1"/>
  <c r="Q56" i="26"/>
  <c r="X56" i="26" s="1"/>
  <c r="Q49" i="26"/>
  <c r="X49" i="26" s="1"/>
  <c r="Q54" i="26"/>
  <c r="X54" i="26" s="1"/>
  <c r="Q45" i="26"/>
  <c r="X45" i="26" s="1"/>
  <c r="U72" i="26"/>
  <c r="Q47" i="26"/>
  <c r="X47" i="26" s="1"/>
  <c r="Q57" i="26"/>
  <c r="X57" i="26" s="1"/>
  <c r="Q63" i="26"/>
  <c r="X63" i="26" s="1"/>
  <c r="Q39" i="26"/>
  <c r="Q46" i="26"/>
  <c r="X46" i="26" s="1"/>
  <c r="Q55" i="26"/>
  <c r="X55" i="26" s="1"/>
  <c r="Q60" i="26"/>
  <c r="X60" i="26" s="1"/>
  <c r="Q41" i="26"/>
  <c r="X41" i="26" s="1"/>
  <c r="Q58" i="26"/>
  <c r="V38" i="26"/>
  <c r="V43" i="26"/>
  <c r="Y43" i="26" s="1"/>
  <c r="V41" i="26"/>
  <c r="Y41" i="26" s="1"/>
  <c r="V46" i="26"/>
  <c r="Y46" i="26" s="1"/>
  <c r="V44" i="26"/>
  <c r="Y44" i="26" s="1"/>
  <c r="V40" i="26"/>
  <c r="V39" i="26"/>
  <c r="Y39" i="26" s="1"/>
  <c r="V49" i="26"/>
  <c r="Y49" i="26" s="1"/>
  <c r="V45" i="26"/>
  <c r="Y45" i="26" s="1"/>
  <c r="V48" i="26"/>
  <c r="Y48" i="26" s="1"/>
  <c r="V42" i="26"/>
  <c r="Y42" i="26" s="1"/>
  <c r="V47" i="26"/>
  <c r="Y47" i="26" s="1"/>
  <c r="E69" i="26"/>
  <c r="AE38" i="26"/>
  <c r="AB38" i="26"/>
  <c r="O10" i="8"/>
  <c r="AE67" i="26" l="1"/>
  <c r="AE66" i="26"/>
  <c r="Q66" i="26"/>
  <c r="AB67" i="26"/>
  <c r="AB66" i="26"/>
  <c r="N42" i="31"/>
  <c r="X42" i="31" s="1"/>
  <c r="O42" i="31"/>
  <c r="Y42" i="31" s="1"/>
  <c r="M42" i="31"/>
  <c r="M41" i="31"/>
  <c r="O41" i="31"/>
  <c r="Y41" i="31" s="1"/>
  <c r="N41" i="31"/>
  <c r="X41" i="31" s="1"/>
  <c r="M39" i="31"/>
  <c r="N39" i="31"/>
  <c r="X39" i="31" s="1"/>
  <c r="O39" i="31"/>
  <c r="Y39" i="31" s="1"/>
  <c r="N64" i="31"/>
  <c r="X64" i="31" s="1"/>
  <c r="M64" i="31"/>
  <c r="N60" i="31"/>
  <c r="X60" i="31" s="1"/>
  <c r="M60" i="31"/>
  <c r="N48" i="31"/>
  <c r="X48" i="31" s="1"/>
  <c r="M48" i="31"/>
  <c r="O48" i="31"/>
  <c r="Y48" i="31" s="1"/>
  <c r="N61" i="31"/>
  <c r="X61" i="31" s="1"/>
  <c r="M61" i="31"/>
  <c r="O49" i="31"/>
  <c r="Y49" i="31" s="1"/>
  <c r="N49" i="31"/>
  <c r="X49" i="31" s="1"/>
  <c r="M49" i="31"/>
  <c r="N62" i="31"/>
  <c r="X62" i="31" s="1"/>
  <c r="M62" i="31"/>
  <c r="M57" i="31"/>
  <c r="N57" i="31"/>
  <c r="X57" i="31" s="1"/>
  <c r="O46" i="31"/>
  <c r="Y46" i="31" s="1"/>
  <c r="N46" i="31"/>
  <c r="X46" i="31" s="1"/>
  <c r="M46" i="31"/>
  <c r="M59" i="31"/>
  <c r="N59" i="31"/>
  <c r="X59" i="31" s="1"/>
  <c r="N45" i="31"/>
  <c r="X45" i="31" s="1"/>
  <c r="M45" i="31"/>
  <c r="O45" i="31"/>
  <c r="Y45" i="31" s="1"/>
  <c r="AC68" i="31"/>
  <c r="AC69" i="31" s="1"/>
  <c r="AE53" i="31"/>
  <c r="N47" i="31"/>
  <c r="X47" i="31" s="1"/>
  <c r="M47" i="31"/>
  <c r="O47" i="31"/>
  <c r="Y47" i="31" s="1"/>
  <c r="O44" i="31"/>
  <c r="Y44" i="31" s="1"/>
  <c r="N44" i="31"/>
  <c r="X44" i="31" s="1"/>
  <c r="M44" i="31"/>
  <c r="N55" i="31"/>
  <c r="X55" i="31" s="1"/>
  <c r="M55" i="31"/>
  <c r="N40" i="31"/>
  <c r="X40" i="31" s="1"/>
  <c r="X66" i="31" s="1"/>
  <c r="O40" i="31"/>
  <c r="Y40" i="31" s="1"/>
  <c r="Y66" i="31" s="1"/>
  <c r="M40" i="31"/>
  <c r="N58" i="31"/>
  <c r="X58" i="31" s="1"/>
  <c r="M58" i="31"/>
  <c r="M43" i="31"/>
  <c r="O43" i="31"/>
  <c r="Y43" i="31" s="1"/>
  <c r="N43" i="31"/>
  <c r="X43" i="31" s="1"/>
  <c r="N38" i="31"/>
  <c r="X38" i="31" s="1"/>
  <c r="X67" i="31" s="1"/>
  <c r="M38" i="31"/>
  <c r="O38" i="31"/>
  <c r="Y38" i="31" s="1"/>
  <c r="Y67" i="31" s="1"/>
  <c r="M56" i="31"/>
  <c r="N56" i="31"/>
  <c r="X56" i="31" s="1"/>
  <c r="M63" i="31"/>
  <c r="N63" i="31"/>
  <c r="X63" i="31" s="1"/>
  <c r="AB53" i="31"/>
  <c r="AB68" i="31" s="1"/>
  <c r="AB69" i="31" s="1"/>
  <c r="Z68" i="31"/>
  <c r="Z69" i="31" s="1"/>
  <c r="M54" i="31"/>
  <c r="N54" i="31"/>
  <c r="X54" i="31" s="1"/>
  <c r="Q68" i="26"/>
  <c r="Q67" i="26"/>
  <c r="X58" i="26"/>
  <c r="V66" i="26"/>
  <c r="Y40" i="26"/>
  <c r="V67" i="26"/>
  <c r="X53" i="26"/>
  <c r="X39" i="26"/>
  <c r="X40" i="26"/>
  <c r="M38" i="26"/>
  <c r="N38" i="26"/>
  <c r="N66" i="26" s="1"/>
  <c r="O38" i="26"/>
  <c r="O66" i="26" s="1"/>
  <c r="AB69" i="26" l="1"/>
  <c r="AE69" i="26"/>
  <c r="Y69" i="31"/>
  <c r="D10" i="25" s="1"/>
  <c r="N53" i="31"/>
  <c r="AE68" i="31"/>
  <c r="AE69" i="31" s="1"/>
  <c r="M53" i="31"/>
  <c r="Q69" i="26"/>
  <c r="V16" i="26" s="1"/>
  <c r="V17" i="26" s="1"/>
  <c r="X68" i="26"/>
  <c r="V69" i="26"/>
  <c r="W16" i="26" s="1"/>
  <c r="W17" i="26" s="1"/>
  <c r="X38" i="26"/>
  <c r="X66" i="26" s="1"/>
  <c r="N67" i="26"/>
  <c r="N69" i="26" s="1"/>
  <c r="Y38" i="26"/>
  <c r="Y66" i="26" s="1"/>
  <c r="O67" i="26"/>
  <c r="O69" i="26" s="1"/>
  <c r="V14" i="31" l="1"/>
  <c r="V15" i="31" s="1"/>
  <c r="V17" i="31" s="1"/>
  <c r="D23" i="25"/>
  <c r="N68" i="31"/>
  <c r="N69" i="31" s="1"/>
  <c r="X53" i="31"/>
  <c r="Y67" i="26"/>
  <c r="Y69" i="26" s="1"/>
  <c r="D9" i="25" s="1"/>
  <c r="X67" i="26"/>
  <c r="X68" i="31" l="1"/>
  <c r="X69" i="31" s="1"/>
  <c r="C10" i="25" s="1"/>
  <c r="F10" i="25" s="1"/>
  <c r="G10" i="25"/>
  <c r="X69" i="26"/>
  <c r="C9" i="25" s="1"/>
  <c r="F9" i="25" s="1"/>
  <c r="I9" i="25" s="1"/>
  <c r="I10" i="25" l="1"/>
  <c r="E14" i="25"/>
  <c r="F27" i="8"/>
  <c r="F30" i="8" s="1"/>
  <c r="F32" i="8" s="1"/>
  <c r="D13" i="8"/>
  <c r="C9" i="33" s="1"/>
  <c r="H13" i="8" l="1"/>
  <c r="N13" i="8" s="1"/>
  <c r="O12" i="8"/>
  <c r="P12" i="8"/>
  <c r="D14" i="8"/>
  <c r="C9" i="34" s="1"/>
  <c r="H25" i="8" l="1"/>
  <c r="G25" i="8" s="1"/>
  <c r="F23" i="8" s="1"/>
  <c r="C8" i="32"/>
  <c r="O13" i="8"/>
  <c r="H14" i="8"/>
  <c r="N14" i="8" s="1"/>
  <c r="P13" i="8"/>
  <c r="B34" i="8" l="1"/>
  <c r="C34" i="8" s="1"/>
  <c r="D32" i="8" s="1"/>
  <c r="C8" i="33"/>
  <c r="P14" i="8"/>
  <c r="D39" i="8"/>
  <c r="D41" i="8" s="1"/>
  <c r="O14" i="8"/>
  <c r="G43" i="8"/>
  <c r="F41" i="8" s="1"/>
  <c r="N15" i="8"/>
  <c r="H43" i="8" l="1"/>
  <c r="C8" i="34"/>
  <c r="O15" i="8"/>
  <c r="P15" i="8"/>
  <c r="C10" i="32" l="1"/>
  <c r="C14" i="32" s="1"/>
  <c r="H27" i="8" l="1"/>
  <c r="E39" i="32"/>
  <c r="E64" i="32"/>
  <c r="E46" i="32"/>
  <c r="E44" i="32"/>
  <c r="E45" i="32"/>
  <c r="E55" i="32"/>
  <c r="E56" i="32"/>
  <c r="E47" i="32"/>
  <c r="E62" i="32"/>
  <c r="E42" i="32"/>
  <c r="E63" i="32"/>
  <c r="E58" i="32"/>
  <c r="E38" i="32"/>
  <c r="E59" i="32"/>
  <c r="E53" i="32"/>
  <c r="E41" i="32"/>
  <c r="E57" i="32"/>
  <c r="E48" i="32"/>
  <c r="E40" i="32"/>
  <c r="E67" i="32" s="1"/>
  <c r="E49" i="32"/>
  <c r="E43" i="32"/>
  <c r="E61" i="32"/>
  <c r="E60" i="32"/>
  <c r="E54" i="32"/>
  <c r="C10" i="33"/>
  <c r="C14" i="33" s="1"/>
  <c r="E42" i="33" l="1"/>
  <c r="B36" i="8"/>
  <c r="E38" i="33"/>
  <c r="E60" i="33"/>
  <c r="E58" i="33"/>
  <c r="E55" i="33"/>
  <c r="E41" i="33"/>
  <c r="E61" i="33"/>
  <c r="E44" i="33"/>
  <c r="E56" i="33"/>
  <c r="E43" i="33"/>
  <c r="E39" i="33"/>
  <c r="E40" i="33"/>
  <c r="E54" i="33"/>
  <c r="E46" i="33"/>
  <c r="E49" i="33"/>
  <c r="E57" i="33"/>
  <c r="E47" i="33"/>
  <c r="E63" i="33"/>
  <c r="E53" i="33"/>
  <c r="E59" i="33"/>
  <c r="E48" i="33"/>
  <c r="E45" i="33"/>
  <c r="E62" i="33"/>
  <c r="E64" i="33"/>
  <c r="E68" i="32"/>
  <c r="E69" i="32" s="1"/>
  <c r="AE48" i="32"/>
  <c r="AB48" i="32"/>
  <c r="AB42" i="32"/>
  <c r="AE42" i="32"/>
  <c r="AB64" i="32"/>
  <c r="AE64" i="32"/>
  <c r="AE43" i="32"/>
  <c r="AB43" i="32"/>
  <c r="AB57" i="32"/>
  <c r="AE57" i="32"/>
  <c r="AE38" i="32"/>
  <c r="AB38" i="32"/>
  <c r="AB67" i="32" s="1"/>
  <c r="AB62" i="32"/>
  <c r="AE62" i="32"/>
  <c r="AE45" i="32"/>
  <c r="AB45" i="32"/>
  <c r="AB39" i="32"/>
  <c r="AE39" i="32"/>
  <c r="AB60" i="32"/>
  <c r="AE60" i="32"/>
  <c r="AB40" i="32"/>
  <c r="AB66" i="32" s="1"/>
  <c r="AE40" i="32"/>
  <c r="AE67" i="32" s="1"/>
  <c r="AB63" i="32"/>
  <c r="AE63" i="32"/>
  <c r="AE56" i="32"/>
  <c r="AB56" i="32"/>
  <c r="AB46" i="32"/>
  <c r="AE46" i="32"/>
  <c r="AE61" i="32"/>
  <c r="AB61" i="32"/>
  <c r="AE59" i="32"/>
  <c r="AB59" i="32"/>
  <c r="AB55" i="32"/>
  <c r="AE55" i="32"/>
  <c r="AE54" i="32"/>
  <c r="AB54" i="32"/>
  <c r="AE49" i="32"/>
  <c r="AB49" i="32"/>
  <c r="AE41" i="32"/>
  <c r="AB41" i="32"/>
  <c r="AB58" i="32"/>
  <c r="AE58" i="32"/>
  <c r="AE47" i="32"/>
  <c r="AB47" i="32"/>
  <c r="AB44" i="32"/>
  <c r="AE44" i="32"/>
  <c r="C10" i="34"/>
  <c r="C14" i="34" s="1"/>
  <c r="E43" i="34" s="1"/>
  <c r="E39" i="34" l="1"/>
  <c r="E40" i="34"/>
  <c r="E41" i="34"/>
  <c r="E42" i="34"/>
  <c r="E46" i="34"/>
  <c r="E44" i="34"/>
  <c r="E45" i="34"/>
  <c r="E48" i="34"/>
  <c r="E47" i="34"/>
  <c r="E38" i="34"/>
  <c r="E59" i="34"/>
  <c r="E58" i="34"/>
  <c r="E60" i="34"/>
  <c r="E54" i="34"/>
  <c r="E61" i="34"/>
  <c r="E56" i="34"/>
  <c r="E55" i="34"/>
  <c r="E57" i="34"/>
  <c r="E63" i="34"/>
  <c r="E62" i="34"/>
  <c r="H45" i="8"/>
  <c r="E49" i="34"/>
  <c r="E64" i="34"/>
  <c r="E53" i="34"/>
  <c r="AE40" i="33"/>
  <c r="AB40" i="33"/>
  <c r="AB62" i="33"/>
  <c r="AE62" i="33"/>
  <c r="AB49" i="33"/>
  <c r="AE49" i="33"/>
  <c r="AB39" i="33"/>
  <c r="AE39" i="33"/>
  <c r="AE60" i="33"/>
  <c r="AB60" i="33"/>
  <c r="AE45" i="33"/>
  <c r="AB45" i="33"/>
  <c r="AE63" i="33"/>
  <c r="AB63" i="33"/>
  <c r="AE46" i="33"/>
  <c r="AB46" i="33"/>
  <c r="AB43" i="33"/>
  <c r="AE43" i="33"/>
  <c r="AB41" i="33"/>
  <c r="AE41" i="33"/>
  <c r="AB38" i="33"/>
  <c r="AE38" i="33"/>
  <c r="AB59" i="33"/>
  <c r="AE59" i="33"/>
  <c r="AB57" i="33"/>
  <c r="AE57" i="33"/>
  <c r="AB44" i="33"/>
  <c r="AE44" i="33"/>
  <c r="AE58" i="33"/>
  <c r="AB58" i="33"/>
  <c r="E68" i="33"/>
  <c r="E69" i="33" s="1"/>
  <c r="AB61" i="33"/>
  <c r="AE61" i="33"/>
  <c r="AB64" i="33"/>
  <c r="AE64" i="33"/>
  <c r="AE48" i="33"/>
  <c r="AB48" i="33"/>
  <c r="AB47" i="33"/>
  <c r="AE47" i="33"/>
  <c r="AE54" i="33"/>
  <c r="AB54" i="33"/>
  <c r="AB56" i="33"/>
  <c r="AE56" i="33"/>
  <c r="AE55" i="33"/>
  <c r="AB55" i="33"/>
  <c r="N48" i="32"/>
  <c r="X48" i="32" s="1"/>
  <c r="M48" i="32"/>
  <c r="O48" i="32"/>
  <c r="Y48" i="32" s="1"/>
  <c r="M42" i="32"/>
  <c r="O42" i="32"/>
  <c r="Y42" i="32" s="1"/>
  <c r="N42" i="32"/>
  <c r="X42" i="32" s="1"/>
  <c r="N47" i="32"/>
  <c r="X47" i="32" s="1"/>
  <c r="M47" i="32"/>
  <c r="O47" i="32"/>
  <c r="Y47" i="32" s="1"/>
  <c r="N41" i="32"/>
  <c r="X41" i="32" s="1"/>
  <c r="O41" i="32"/>
  <c r="Y41" i="32" s="1"/>
  <c r="M41" i="32"/>
  <c r="M54" i="32"/>
  <c r="N54" i="32"/>
  <c r="X54" i="32" s="1"/>
  <c r="N59" i="32"/>
  <c r="X59" i="32" s="1"/>
  <c r="M59" i="32"/>
  <c r="N45" i="32"/>
  <c r="X45" i="32" s="1"/>
  <c r="M45" i="32"/>
  <c r="O45" i="32"/>
  <c r="Y45" i="32" s="1"/>
  <c r="M38" i="32"/>
  <c r="N38" i="32"/>
  <c r="X38" i="32" s="1"/>
  <c r="O38" i="32"/>
  <c r="Y38" i="32" s="1"/>
  <c r="N43" i="32"/>
  <c r="X43" i="32" s="1"/>
  <c r="O43" i="32"/>
  <c r="Y43" i="32" s="1"/>
  <c r="M43" i="32"/>
  <c r="AB53" i="32"/>
  <c r="AB68" i="32" s="1"/>
  <c r="AB69" i="32" s="1"/>
  <c r="Z68" i="32"/>
  <c r="Z69" i="32" s="1"/>
  <c r="O49" i="32"/>
  <c r="Y49" i="32" s="1"/>
  <c r="M49" i="32"/>
  <c r="N49" i="32"/>
  <c r="X49" i="32" s="1"/>
  <c r="M61" i="32"/>
  <c r="N61" i="32"/>
  <c r="X61" i="32" s="1"/>
  <c r="N56" i="32"/>
  <c r="X56" i="32" s="1"/>
  <c r="M56" i="32"/>
  <c r="N46" i="32"/>
  <c r="X46" i="32" s="1"/>
  <c r="O46" i="32"/>
  <c r="Y46" i="32" s="1"/>
  <c r="M46" i="32"/>
  <c r="M63" i="32"/>
  <c r="N63" i="32"/>
  <c r="X63" i="32" s="1"/>
  <c r="M60" i="32"/>
  <c r="N60" i="32"/>
  <c r="X60" i="32" s="1"/>
  <c r="O44" i="32"/>
  <c r="Y44" i="32" s="1"/>
  <c r="M44" i="32"/>
  <c r="N44" i="32"/>
  <c r="X44" i="32" s="1"/>
  <c r="N58" i="32"/>
  <c r="X58" i="32" s="1"/>
  <c r="M58" i="32"/>
  <c r="M55" i="32"/>
  <c r="N55" i="32"/>
  <c r="X55" i="32" s="1"/>
  <c r="M40" i="32"/>
  <c r="N40" i="32"/>
  <c r="O40" i="32"/>
  <c r="M39" i="32"/>
  <c r="N39" i="32"/>
  <c r="X39" i="32" s="1"/>
  <c r="O39" i="32"/>
  <c r="Y39" i="32" s="1"/>
  <c r="N62" i="32"/>
  <c r="X62" i="32" s="1"/>
  <c r="M62" i="32"/>
  <c r="N57" i="32"/>
  <c r="X57" i="32" s="1"/>
  <c r="M57" i="32"/>
  <c r="M64" i="32"/>
  <c r="N64" i="32"/>
  <c r="X64" i="32" s="1"/>
  <c r="AE53" i="32"/>
  <c r="AC68" i="32"/>
  <c r="AC69" i="32" s="1"/>
  <c r="Y40" i="32" l="1"/>
  <c r="O67" i="32"/>
  <c r="O69" i="32" s="1"/>
  <c r="X40" i="32"/>
  <c r="X67" i="32" s="1"/>
  <c r="N67" i="32"/>
  <c r="E67" i="34"/>
  <c r="E66" i="34"/>
  <c r="W14" i="33"/>
  <c r="W15" i="33" s="1"/>
  <c r="W17" i="33" s="1"/>
  <c r="V14" i="33"/>
  <c r="V15" i="33" s="1"/>
  <c r="C30" i="25"/>
  <c r="AB53" i="34"/>
  <c r="AE53" i="34"/>
  <c r="AB66" i="34"/>
  <c r="AE49" i="34"/>
  <c r="AB49" i="34"/>
  <c r="E68" i="34"/>
  <c r="AB67" i="34"/>
  <c r="AB64" i="34"/>
  <c r="AE64" i="34"/>
  <c r="N54" i="33"/>
  <c r="X54" i="33" s="1"/>
  <c r="M54" i="33"/>
  <c r="M48" i="33"/>
  <c r="O48" i="33"/>
  <c r="Y48" i="33" s="1"/>
  <c r="N48" i="33"/>
  <c r="X48" i="33" s="1"/>
  <c r="N57" i="33"/>
  <c r="X57" i="33" s="1"/>
  <c r="M57" i="33"/>
  <c r="O38" i="33"/>
  <c r="Y38" i="33" s="1"/>
  <c r="Y69" i="33" s="1"/>
  <c r="D12" i="25" s="1"/>
  <c r="M38" i="33"/>
  <c r="N38" i="33"/>
  <c r="X38" i="33" s="1"/>
  <c r="M43" i="33"/>
  <c r="N43" i="33"/>
  <c r="X43" i="33" s="1"/>
  <c r="O43" i="33"/>
  <c r="Y43" i="33" s="1"/>
  <c r="M49" i="33"/>
  <c r="N49" i="33"/>
  <c r="X49" i="33" s="1"/>
  <c r="O49" i="33"/>
  <c r="Y49" i="33" s="1"/>
  <c r="M56" i="33"/>
  <c r="N56" i="33"/>
  <c r="X56" i="33" s="1"/>
  <c r="M63" i="33"/>
  <c r="N63" i="33"/>
  <c r="X63" i="33" s="1"/>
  <c r="M60" i="33"/>
  <c r="N60" i="33"/>
  <c r="X60" i="33" s="1"/>
  <c r="O40" i="33"/>
  <c r="Y40" i="33" s="1"/>
  <c r="N40" i="33"/>
  <c r="X40" i="33" s="1"/>
  <c r="M40" i="33"/>
  <c r="O44" i="33"/>
  <c r="Y44" i="33" s="1"/>
  <c r="N44" i="33"/>
  <c r="X44" i="33" s="1"/>
  <c r="M44" i="33"/>
  <c r="M59" i="33"/>
  <c r="N59" i="33"/>
  <c r="X59" i="33" s="1"/>
  <c r="N41" i="33"/>
  <c r="X41" i="33" s="1"/>
  <c r="O41" i="33"/>
  <c r="Y41" i="33" s="1"/>
  <c r="M41" i="33"/>
  <c r="M39" i="33"/>
  <c r="O39" i="33"/>
  <c r="Y39" i="33" s="1"/>
  <c r="N39" i="33"/>
  <c r="X39" i="33" s="1"/>
  <c r="N62" i="33"/>
  <c r="X62" i="33" s="1"/>
  <c r="M62" i="33"/>
  <c r="N55" i="33"/>
  <c r="X55" i="33" s="1"/>
  <c r="M55" i="33"/>
  <c r="N47" i="33"/>
  <c r="X47" i="33" s="1"/>
  <c r="M47" i="33"/>
  <c r="O47" i="33"/>
  <c r="Y47" i="33" s="1"/>
  <c r="N64" i="33"/>
  <c r="X64" i="33" s="1"/>
  <c r="M64" i="33"/>
  <c r="AC68" i="33"/>
  <c r="AC69" i="33" s="1"/>
  <c r="AE53" i="33"/>
  <c r="M58" i="33"/>
  <c r="N58" i="33"/>
  <c r="X58" i="33" s="1"/>
  <c r="M61" i="33"/>
  <c r="N61" i="33"/>
  <c r="X61" i="33" s="1"/>
  <c r="AB53" i="33"/>
  <c r="AB68" i="33" s="1"/>
  <c r="AB69" i="33" s="1"/>
  <c r="Z68" i="33"/>
  <c r="Z69" i="33" s="1"/>
  <c r="N46" i="33"/>
  <c r="X46" i="33" s="1"/>
  <c r="M46" i="33"/>
  <c r="O46" i="33"/>
  <c r="Y46" i="33" s="1"/>
  <c r="O45" i="33"/>
  <c r="Y45" i="33" s="1"/>
  <c r="M45" i="33"/>
  <c r="N45" i="33"/>
  <c r="X45" i="33" s="1"/>
  <c r="N53" i="32"/>
  <c r="M53" i="32"/>
  <c r="AE68" i="32"/>
  <c r="AE69" i="32" s="1"/>
  <c r="G12" i="25" l="1"/>
  <c r="G14" i="25" s="1"/>
  <c r="V17" i="33"/>
  <c r="D32" i="25"/>
  <c r="Y67" i="32"/>
  <c r="Y69" i="32" s="1"/>
  <c r="D11" i="25" s="1"/>
  <c r="E69" i="34"/>
  <c r="F30" i="25"/>
  <c r="G30" i="25" s="1"/>
  <c r="G32" i="25" s="1"/>
  <c r="H12" i="25"/>
  <c r="H14" i="25" s="1"/>
  <c r="Y67" i="34"/>
  <c r="X67" i="34"/>
  <c r="M53" i="34"/>
  <c r="N53" i="34"/>
  <c r="X53" i="34" s="1"/>
  <c r="C31" i="25" s="1"/>
  <c r="M64" i="34"/>
  <c r="N64" i="34"/>
  <c r="X64" i="34" s="1"/>
  <c r="Y66" i="34"/>
  <c r="X66" i="34"/>
  <c r="AB68" i="34"/>
  <c r="AB69" i="34" s="1"/>
  <c r="Z68" i="34"/>
  <c r="Z69" i="34" s="1"/>
  <c r="AC68" i="34"/>
  <c r="AC69" i="34" s="1"/>
  <c r="N49" i="34"/>
  <c r="X49" i="34" s="1"/>
  <c r="M49" i="34"/>
  <c r="O49" i="34"/>
  <c r="Y49" i="34" s="1"/>
  <c r="AE68" i="33"/>
  <c r="AE69" i="33" s="1"/>
  <c r="M53" i="33"/>
  <c r="N53" i="33"/>
  <c r="N68" i="32"/>
  <c r="N69" i="32" s="1"/>
  <c r="X53" i="32"/>
  <c r="C24" i="25" l="1" a="1"/>
  <c r="C24" i="25" s="1"/>
  <c r="C19" i="25" a="1"/>
  <c r="C19" i="25" s="1"/>
  <c r="C25" i="25" a="1"/>
  <c r="C25" i="25" s="1"/>
  <c r="H33" i="25"/>
  <c r="F33" i="25"/>
  <c r="H15" i="25"/>
  <c r="H30" i="25"/>
  <c r="I30" i="25" s="1"/>
  <c r="G39" i="25"/>
  <c r="G40" i="25" s="1"/>
  <c r="G33" i="25"/>
  <c r="G34" i="25" s="1"/>
  <c r="Y69" i="34"/>
  <c r="D13" i="25" s="1"/>
  <c r="D14" i="25" s="1"/>
  <c r="AE68" i="34"/>
  <c r="AE69" i="34" s="1"/>
  <c r="N68" i="33"/>
  <c r="N69" i="33" s="1"/>
  <c r="X53" i="33"/>
  <c r="C20" i="25" s="1" a="1"/>
  <c r="C20" i="25" s="1"/>
  <c r="X68" i="32"/>
  <c r="X69" i="32" s="1"/>
  <c r="C11" i="25" s="1"/>
  <c r="F11" i="25" s="1"/>
  <c r="I11" i="25" s="1"/>
  <c r="C21" i="25" l="1" a="1"/>
  <c r="C21" i="25" s="1"/>
  <c r="C22" i="25" a="1"/>
  <c r="C22" i="25" s="1"/>
  <c r="C27" i="25" a="1"/>
  <c r="C27" i="25" s="1"/>
  <c r="C29" i="25" a="1"/>
  <c r="C29" i="25" s="1"/>
  <c r="C26" i="25" a="1"/>
  <c r="C26" i="25" s="1"/>
  <c r="C28" i="25" a="1"/>
  <c r="C28" i="25" s="1"/>
  <c r="F25" i="25"/>
  <c r="F24" i="25"/>
  <c r="I24" i="25" s="1"/>
  <c r="X68" i="33"/>
  <c r="X69" i="33" s="1"/>
  <c r="C12" i="25" s="1"/>
  <c r="F12" i="25" s="1"/>
  <c r="I12" i="25" s="1"/>
  <c r="N68" i="34"/>
  <c r="N69" i="34" s="1"/>
  <c r="F31" i="25" l="1"/>
  <c r="X68" i="34"/>
  <c r="X69" i="34" s="1"/>
  <c r="C13" i="25" s="1"/>
  <c r="F13" i="25" s="1"/>
  <c r="I13" i="25" s="1"/>
  <c r="F19" i="25"/>
  <c r="F20" i="25"/>
  <c r="F21" i="25"/>
  <c r="F22" i="25"/>
  <c r="H32" i="25" l="1"/>
  <c r="H34" i="25" s="1"/>
  <c r="H59" i="38" s="1"/>
  <c r="N59" i="38" s="1"/>
  <c r="I31" i="25"/>
  <c r="F26" i="25"/>
  <c r="I26" i="25" s="1"/>
  <c r="F28" i="25"/>
  <c r="I28" i="25" s="1"/>
  <c r="F29" i="25"/>
  <c r="I29" i="25" s="1"/>
  <c r="F27" i="25"/>
  <c r="I27" i="25" s="1"/>
  <c r="F23" i="25"/>
  <c r="I25" i="25" s="1"/>
  <c r="C23" i="25"/>
  <c r="C32" i="25" s="1"/>
  <c r="C14" i="25"/>
  <c r="P59" i="38" l="1"/>
  <c r="N58" i="38"/>
  <c r="T59" i="38"/>
  <c r="T58" i="38" s="1"/>
  <c r="F32" i="25"/>
  <c r="F34" i="25" s="1"/>
  <c r="F14" i="25"/>
  <c r="I23" i="25"/>
  <c r="U59" i="38" l="1"/>
  <c r="G48" i="38"/>
  <c r="G53" i="38" s="1"/>
  <c r="P58" i="38"/>
  <c r="I32" i="25"/>
  <c r="I14" i="25"/>
  <c r="I48" i="38" l="1"/>
  <c r="I53" i="38" s="1"/>
  <c r="D4" i="38" s="1"/>
  <c r="D6" i="38" s="1"/>
  <c r="U58" i="3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GW</author>
  </authors>
  <commentList>
    <comment ref="A8" authorId="0" shapeId="0" xr:uid="{00000000-0006-0000-0000-000001000000}">
      <text>
        <r>
          <rPr>
            <b/>
            <sz val="11"/>
            <color indexed="81"/>
            <rFont val="Tahoma"/>
            <family val="2"/>
          </rPr>
          <t>GW:</t>
        </r>
        <r>
          <rPr>
            <sz val="11"/>
            <color indexed="81"/>
            <rFont val="Tahoma"/>
            <family val="2"/>
          </rPr>
          <t xml:space="preserve">
Bitte füllen Sie das Tool erst vollständig aus und überprüfen Sie abschließend die rot gekennzeichneten Zellen.</t>
        </r>
      </text>
    </comment>
    <comment ref="A28" authorId="0" shapeId="0" xr:uid="{00000000-0006-0000-0000-000002000000}">
      <text>
        <r>
          <rPr>
            <b/>
            <sz val="11"/>
            <color indexed="81"/>
            <rFont val="Segoe UI"/>
            <family val="2"/>
          </rPr>
          <t>GW:</t>
        </r>
        <r>
          <rPr>
            <sz val="11"/>
            <color indexed="81"/>
            <rFont val="Segoe UI"/>
            <family val="2"/>
          </rPr>
          <t xml:space="preserve">
Dieses Tool ist für jedes (örtlich getrennte) Netzgebiet auszufüllen. Nur so spiegeln nämlich die vermiedenen Netzentgelte den Betrag wider, den der Netzbetreiber infolge der dezentralen Einspeisung einspart. Darüber hinaus könnte beim Zusammenfassen unterschiedlicher Netzgebiete das Problem auftreten, dass es für die Netzgebiete unterschiedliche vorgelagerte Netzentgelte gibt.</t>
        </r>
      </text>
    </comment>
    <comment ref="A40" authorId="0" shapeId="0" xr:uid="{00000000-0006-0000-0000-000003000000}">
      <text>
        <r>
          <rPr>
            <b/>
            <sz val="11"/>
            <color indexed="81"/>
            <rFont val="Tahoma"/>
            <family val="2"/>
          </rPr>
          <t>GW:</t>
        </r>
        <r>
          <rPr>
            <sz val="11"/>
            <color indexed="81"/>
            <rFont val="Tahoma"/>
            <family val="2"/>
          </rPr>
          <t xml:space="preserve">
Der Unterschied zwischen Bezug und Rückspeisung ist derzeit insofern von Bedeutung, als man bei Bezug "normale" Netzentgelte und für Rückspeisungen vermiedene Netzentgelte zahlen muss. 
Unter dem Gesichtspunkt der Kostenverursachung sollten m. E. immer diejenigen, die Strom abnehmen auch die anteiligen Netzkosten tragen - unabhängig davon, ob der Strom </t>
        </r>
        <r>
          <rPr>
            <b/>
            <sz val="11"/>
            <color indexed="81"/>
            <rFont val="Tahoma"/>
            <family val="2"/>
          </rPr>
          <t>"</t>
        </r>
        <r>
          <rPr>
            <sz val="11"/>
            <color indexed="81"/>
            <rFont val="Tahoma"/>
            <family val="2"/>
          </rPr>
          <t xml:space="preserve">von oben" oder "von unten" kommt. Die Unterscheidung zwischen Bezug und Rückspeisung wäre dann vom Grund für Zahlungen entkoppelt. Nur Betreiber von dezentralen Erzeugungsanlagen sollten ein vermiedenes Netzentgelt erhalten, das denjenigen Ebenen zugerechnet wird, in denen etwas vermieden wurde.
Die hier angeführte Definition dürfte dem derzeitigen Stand der StromNEV entsprechen. In der Praxis sollte die Abgrenzung zwischen Bezug und Rückspeisung in der Regel keine Probleme bereiten.
</t>
        </r>
      </text>
    </comment>
    <comment ref="B105" authorId="0" shapeId="0" xr:uid="{00000000-0006-0000-0000-000004000000}">
      <text>
        <r>
          <rPr>
            <b/>
            <sz val="11"/>
            <color indexed="81"/>
            <rFont val="Tahoma"/>
            <family val="2"/>
          </rPr>
          <t>GW:</t>
        </r>
        <r>
          <rPr>
            <sz val="11"/>
            <color indexed="81"/>
            <rFont val="Tahoma"/>
            <family val="2"/>
          </rPr>
          <t xml:space="preserve">
Eine </t>
        </r>
        <r>
          <rPr>
            <i/>
            <sz val="11"/>
            <color indexed="81"/>
            <rFont val="Tahoma"/>
            <family val="2"/>
          </rPr>
          <t xml:space="preserve">Rückspeisevergütung </t>
        </r>
        <r>
          <rPr>
            <sz val="11"/>
            <color indexed="81"/>
            <rFont val="Tahoma"/>
            <family val="2"/>
          </rPr>
          <t xml:space="preserve">erfolgt zwischen Ebenen, die verschiedenen Netzbetreibern gehören.
Eine </t>
        </r>
        <r>
          <rPr>
            <i/>
            <sz val="11"/>
            <color indexed="81"/>
            <rFont val="Tahoma"/>
            <family val="2"/>
          </rPr>
          <t xml:space="preserve">Rückspeiseverrechnung </t>
        </r>
        <r>
          <rPr>
            <sz val="11"/>
            <color indexed="81"/>
            <rFont val="Tahoma"/>
            <family val="2"/>
          </rPr>
          <t xml:space="preserve">erfolgt zwischen Ebenen, die nur einem Netzbetreiber gehören.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GW</author>
    <author>Auburger, Kilian (Reg Oberpfalz)</author>
  </authors>
  <commentList>
    <comment ref="A8" authorId="0" shapeId="0" xr:uid="{00000000-0006-0000-0900-000001000000}">
      <text>
        <r>
          <rPr>
            <b/>
            <sz val="11"/>
            <color indexed="81"/>
            <rFont val="Tahoma"/>
            <family val="2"/>
          </rPr>
          <t>GW:</t>
        </r>
        <r>
          <rPr>
            <sz val="11"/>
            <color indexed="81"/>
            <rFont val="Tahoma"/>
            <family val="2"/>
          </rPr>
          <t xml:space="preserve">
rechnerischer Wert unter der Voraussetzung, dass Arbeit nur von der vorgelagerten Netzebene eingespeist wird.</t>
        </r>
      </text>
    </comment>
    <comment ref="C10" authorId="0" shapeId="0" xr:uid="{00000000-0006-0000-0900-000002000000}">
      <text>
        <r>
          <rPr>
            <b/>
            <sz val="11"/>
            <color indexed="81"/>
            <rFont val="Tahoma"/>
            <family val="2"/>
          </rPr>
          <t>GW:</t>
        </r>
        <r>
          <rPr>
            <sz val="11"/>
            <color indexed="81"/>
            <rFont val="Tahoma"/>
            <family val="2"/>
          </rPr>
          <t xml:space="preserve">
Diese Zelle erschein rot, wenn die Rechnung unten zu einem anderen Wert führt.
Wegen
</t>
        </r>
        <r>
          <rPr>
            <i/>
            <sz val="11"/>
            <color indexed="81"/>
            <rFont val="Tahoma"/>
            <family val="2"/>
          </rPr>
          <t>B</t>
        </r>
        <r>
          <rPr>
            <i/>
            <vertAlign val="subscript"/>
            <sz val="11"/>
            <color indexed="81"/>
            <rFont val="Tahoma"/>
            <family val="2"/>
          </rPr>
          <t>eN</t>
        </r>
        <r>
          <rPr>
            <i/>
            <sz val="11"/>
            <color indexed="81"/>
            <rFont val="Tahoma"/>
            <family val="2"/>
          </rPr>
          <t xml:space="preserve"> + B</t>
        </r>
        <r>
          <rPr>
            <i/>
            <vertAlign val="subscript"/>
            <sz val="11"/>
            <color indexed="81"/>
            <rFont val="Tahoma"/>
            <family val="2"/>
          </rPr>
          <t>fN</t>
        </r>
        <r>
          <rPr>
            <i/>
            <sz val="11"/>
            <color indexed="81"/>
            <rFont val="Tahoma"/>
            <family val="2"/>
          </rPr>
          <t xml:space="preserve"> + D + R</t>
        </r>
        <r>
          <rPr>
            <i/>
            <vertAlign val="subscript"/>
            <sz val="11"/>
            <color indexed="81"/>
            <rFont val="Tahoma"/>
            <family val="2"/>
          </rPr>
          <t>eN</t>
        </r>
        <r>
          <rPr>
            <i/>
            <sz val="11"/>
            <color indexed="81"/>
            <rFont val="Tahoma"/>
            <family val="2"/>
          </rPr>
          <t xml:space="preserve"> + R</t>
        </r>
        <r>
          <rPr>
            <i/>
            <vertAlign val="subscript"/>
            <sz val="11"/>
            <color indexed="81"/>
            <rFont val="Tahoma"/>
            <family val="2"/>
          </rPr>
          <t>fN</t>
        </r>
        <r>
          <rPr>
            <i/>
            <sz val="11"/>
            <color indexed="81"/>
            <rFont val="Tahoma"/>
            <family val="2"/>
          </rPr>
          <t xml:space="preserve"> = L + eN + fN + A</t>
        </r>
        <r>
          <rPr>
            <i/>
            <vertAlign val="subscript"/>
            <sz val="11"/>
            <color indexed="81"/>
            <rFont val="Tahoma"/>
            <family val="2"/>
          </rPr>
          <t>eN</t>
        </r>
        <r>
          <rPr>
            <i/>
            <sz val="11"/>
            <color indexed="81"/>
            <rFont val="Tahoma"/>
            <family val="2"/>
          </rPr>
          <t xml:space="preserve"> + A</t>
        </r>
        <r>
          <rPr>
            <i/>
            <vertAlign val="subscript"/>
            <sz val="11"/>
            <color indexed="81"/>
            <rFont val="Tahoma"/>
            <family val="2"/>
          </rPr>
          <t>fN</t>
        </r>
        <r>
          <rPr>
            <i/>
            <sz val="11"/>
            <color indexed="81"/>
            <rFont val="Tahoma"/>
            <family val="2"/>
          </rPr>
          <t xml:space="preserve"> +V
= (L + eN + fN + A</t>
        </r>
        <r>
          <rPr>
            <i/>
            <vertAlign val="subscript"/>
            <sz val="11"/>
            <color indexed="81"/>
            <rFont val="Tahoma"/>
            <family val="2"/>
          </rPr>
          <t>eN</t>
        </r>
        <r>
          <rPr>
            <i/>
            <sz val="11"/>
            <color indexed="81"/>
            <rFont val="Tahoma"/>
            <family val="2"/>
          </rPr>
          <t xml:space="preserve"> + A</t>
        </r>
        <r>
          <rPr>
            <i/>
            <vertAlign val="subscript"/>
            <sz val="11"/>
            <color indexed="81"/>
            <rFont val="Tahoma"/>
            <family val="2"/>
          </rPr>
          <t>fN</t>
        </r>
        <r>
          <rPr>
            <i/>
            <sz val="11"/>
            <color indexed="81"/>
            <rFont val="Tahoma"/>
            <family val="2"/>
          </rPr>
          <t>) * (1+v)
= (L + eN + fN) * (1+v) + (A</t>
        </r>
        <r>
          <rPr>
            <i/>
            <vertAlign val="subscript"/>
            <sz val="11"/>
            <color indexed="81"/>
            <rFont val="Tahoma"/>
            <family val="2"/>
          </rPr>
          <t>eN</t>
        </r>
        <r>
          <rPr>
            <i/>
            <sz val="11"/>
            <color indexed="81"/>
            <rFont val="Tahoma"/>
            <family val="2"/>
          </rPr>
          <t xml:space="preserve"> + A</t>
        </r>
        <r>
          <rPr>
            <i/>
            <vertAlign val="subscript"/>
            <sz val="11"/>
            <color indexed="81"/>
            <rFont val="Tahoma"/>
            <family val="2"/>
          </rPr>
          <t>fN</t>
        </r>
        <r>
          <rPr>
            <i/>
            <sz val="11"/>
            <color indexed="81"/>
            <rFont val="Tahoma"/>
            <family val="2"/>
          </rPr>
          <t>) * (1+v)
= E</t>
        </r>
        <r>
          <rPr>
            <i/>
            <vertAlign val="subscript"/>
            <sz val="11"/>
            <color indexed="81"/>
            <rFont val="Tahoma"/>
            <family val="2"/>
          </rPr>
          <t>max</t>
        </r>
        <r>
          <rPr>
            <i/>
            <sz val="11"/>
            <color indexed="81"/>
            <rFont val="Tahoma"/>
            <family val="2"/>
          </rPr>
          <t xml:space="preserve"> + (A</t>
        </r>
        <r>
          <rPr>
            <i/>
            <vertAlign val="subscript"/>
            <sz val="11"/>
            <color indexed="81"/>
            <rFont val="Tahoma"/>
            <family val="2"/>
          </rPr>
          <t>eN</t>
        </r>
        <r>
          <rPr>
            <i/>
            <sz val="11"/>
            <color indexed="81"/>
            <rFont val="Tahoma"/>
            <family val="2"/>
          </rPr>
          <t xml:space="preserve"> + A</t>
        </r>
        <r>
          <rPr>
            <i/>
            <vertAlign val="subscript"/>
            <sz val="11"/>
            <color indexed="81"/>
            <rFont val="Tahoma"/>
            <family val="2"/>
          </rPr>
          <t>fN</t>
        </r>
        <r>
          <rPr>
            <i/>
            <sz val="11"/>
            <color indexed="81"/>
            <rFont val="Tahoma"/>
            <family val="2"/>
          </rPr>
          <t>) * (1+v)</t>
        </r>
        <r>
          <rPr>
            <sz val="11"/>
            <color indexed="81"/>
            <rFont val="Tahoma"/>
            <family val="2"/>
          </rPr>
          <t xml:space="preserve">
gilt
</t>
        </r>
        <r>
          <rPr>
            <i/>
            <sz val="11"/>
            <color indexed="81"/>
            <rFont val="Tahoma"/>
            <family val="2"/>
          </rPr>
          <t>E</t>
        </r>
        <r>
          <rPr>
            <i/>
            <vertAlign val="subscript"/>
            <sz val="11"/>
            <color indexed="81"/>
            <rFont val="Tahoma"/>
            <family val="2"/>
          </rPr>
          <t>max</t>
        </r>
        <r>
          <rPr>
            <i/>
            <sz val="11"/>
            <color indexed="81"/>
            <rFont val="Tahoma"/>
            <family val="2"/>
          </rPr>
          <t xml:space="preserve"> - B</t>
        </r>
        <r>
          <rPr>
            <i/>
            <vertAlign val="subscript"/>
            <sz val="11"/>
            <color indexed="81"/>
            <rFont val="Tahoma"/>
            <family val="2"/>
          </rPr>
          <t>eN</t>
        </r>
        <r>
          <rPr>
            <i/>
            <sz val="11"/>
            <color indexed="81"/>
            <rFont val="Tahoma"/>
            <family val="2"/>
          </rPr>
          <t xml:space="preserve"> - B</t>
        </r>
        <r>
          <rPr>
            <i/>
            <vertAlign val="subscript"/>
            <sz val="11"/>
            <color indexed="81"/>
            <rFont val="Tahoma"/>
            <family val="2"/>
          </rPr>
          <t>fN</t>
        </r>
        <r>
          <rPr>
            <i/>
            <sz val="11"/>
            <color indexed="81"/>
            <rFont val="Tahoma"/>
            <family val="2"/>
          </rPr>
          <t xml:space="preserve"> = D + R</t>
        </r>
        <r>
          <rPr>
            <i/>
            <vertAlign val="subscript"/>
            <sz val="11"/>
            <color indexed="81"/>
            <rFont val="Tahoma"/>
            <family val="2"/>
          </rPr>
          <t>eN</t>
        </r>
        <r>
          <rPr>
            <i/>
            <sz val="11"/>
            <color indexed="81"/>
            <rFont val="Tahoma"/>
            <family val="2"/>
          </rPr>
          <t xml:space="preserve"> + R</t>
        </r>
        <r>
          <rPr>
            <i/>
            <vertAlign val="subscript"/>
            <sz val="11"/>
            <color indexed="81"/>
            <rFont val="Tahoma"/>
            <family val="2"/>
          </rPr>
          <t>fN</t>
        </r>
        <r>
          <rPr>
            <i/>
            <sz val="11"/>
            <color indexed="81"/>
            <rFont val="Tahoma"/>
            <family val="2"/>
          </rPr>
          <t xml:space="preserve"> - (A</t>
        </r>
        <r>
          <rPr>
            <i/>
            <vertAlign val="subscript"/>
            <sz val="11"/>
            <color indexed="81"/>
            <rFont val="Tahoma"/>
            <family val="2"/>
          </rPr>
          <t>eN</t>
        </r>
        <r>
          <rPr>
            <i/>
            <sz val="11"/>
            <color indexed="81"/>
            <rFont val="Tahoma"/>
            <family val="2"/>
          </rPr>
          <t xml:space="preserve"> + A</t>
        </r>
        <r>
          <rPr>
            <i/>
            <vertAlign val="subscript"/>
            <sz val="11"/>
            <color indexed="81"/>
            <rFont val="Tahoma"/>
            <family val="2"/>
          </rPr>
          <t>fN</t>
        </r>
        <r>
          <rPr>
            <i/>
            <sz val="11"/>
            <color indexed="81"/>
            <rFont val="Tahoma"/>
            <family val="2"/>
          </rPr>
          <t>) * (1+v) = E</t>
        </r>
        <r>
          <rPr>
            <i/>
            <vertAlign val="subscript"/>
            <sz val="11"/>
            <color indexed="81"/>
            <rFont val="Tahoma"/>
            <family val="2"/>
          </rPr>
          <t>verm,tat</t>
        </r>
      </text>
    </comment>
    <comment ref="P13" authorId="0" shapeId="0" xr:uid="{00000000-0006-0000-0900-000003000000}">
      <text>
        <r>
          <rPr>
            <b/>
            <sz val="11"/>
            <color indexed="81"/>
            <rFont val="Tahoma"/>
            <family val="2"/>
          </rPr>
          <t>GW:</t>
        </r>
        <r>
          <rPr>
            <sz val="11"/>
            <color indexed="81"/>
            <rFont val="Tahoma"/>
            <family val="2"/>
          </rPr>
          <t xml:space="preserve">
Es ist nur die Vergütung anzusetzen, die auch den vermNE im EEG-Testat bzw. an die Einspeiser zugrunde lag. Stehen die endgültigen Einspeisevergütungssätze erst danach fest, sind grundsätzlich das EEG-Testat und die Gutschriften an die anderen Einspeiser zu korrigieren. 
Bei kleineren Beträgen kann man ausnahmsweise die Differenz zum bisherigen Ansatz (=Gutschrift bzw. Nachbelastung des Netzbetreibers der vorgelagerten Netzebene) entweder
1. von den vermNE lt. Prüfung abziehen (NB erhält nachträglich mehr Geld (Gutschrift)) bzw addieren (NB muss nachträglich Geld zurückzahlen (Nachbelastung)). Dann wirkt die Ausnahmeregelung bei einer Gutschrift zu Lasten des ÜNB bzw. der Einspeiser (und über die niedrigere EO zu Gunsten aller anderen Netzkunden), bei einer Nachbelastung zu Gunsten des ÜNB bzw. der Einspeiser (und über die höhere EO zu Lasten aller anderen Netzkunden) oder
2. im Folgejahr berücksichtigen. In diesem Fall wird die Gutschrift/Nachbelastung den Einspeiserrn im Folgejahr zugeordnet. Die Einspeiser im Folgejahr werden nicht identisch sein mit den Einspeisern im Betrachtungsjahr. Außerdem wird im Folgejahr ein anderer Zeitpunkt für die Rückspeisevergütung maßgeblich sein. Deshalb kommt es auch bei dieser Vorgehensweise zu Verzerrungen.</t>
        </r>
      </text>
    </comment>
    <comment ref="W13" authorId="0" shapeId="0" xr:uid="{00000000-0006-0000-0900-000004000000}">
      <text>
        <r>
          <rPr>
            <b/>
            <sz val="11"/>
            <color indexed="81"/>
            <rFont val="Segoe UI"/>
            <family val="2"/>
          </rPr>
          <t>GW:</t>
        </r>
        <r>
          <rPr>
            <sz val="11"/>
            <color indexed="81"/>
            <rFont val="Segoe UI"/>
            <family val="2"/>
          </rPr>
          <t xml:space="preserve">
Erhält der NB eine Rückspeisevergütung von zwei oder mehr fremden Netzen, kann dies im Tool im Moment nur über den Schlüssel 1 abgebildet werden. Bitte stellen Sie uns diesen Fall vor. Wir überlegen dann, ob wir dieses Tool anpassen können.</t>
        </r>
      </text>
    </comment>
    <comment ref="A14" authorId="0" shapeId="0" xr:uid="{00000000-0006-0000-0900-000005000000}">
      <text>
        <r>
          <rPr>
            <b/>
            <sz val="11"/>
            <color indexed="81"/>
            <rFont val="Tahoma"/>
            <family val="2"/>
          </rPr>
          <t>GW:</t>
        </r>
        <r>
          <rPr>
            <sz val="11"/>
            <color indexed="81"/>
            <rFont val="Tahoma"/>
            <family val="2"/>
          </rPr>
          <t xml:space="preserve">
für die Ermittlung der zu vergütenden Einspeisearbeit</t>
        </r>
      </text>
    </comment>
    <comment ref="C14" authorId="0" shapeId="0" xr:uid="{00000000-0006-0000-0900-000006000000}">
      <text>
        <r>
          <rPr>
            <b/>
            <sz val="11"/>
            <color indexed="81"/>
            <rFont val="Tahoma"/>
            <family val="2"/>
          </rPr>
          <t>GW:</t>
        </r>
        <r>
          <rPr>
            <sz val="11"/>
            <color indexed="81"/>
            <rFont val="Tahoma"/>
            <family val="2"/>
          </rPr>
          <t xml:space="preserve">
0 ≤ </t>
        </r>
        <r>
          <rPr>
            <i/>
            <sz val="11"/>
            <color indexed="81"/>
            <rFont val="Tahoma"/>
            <family val="2"/>
          </rPr>
          <t>r</t>
        </r>
        <r>
          <rPr>
            <sz val="11"/>
            <color indexed="81"/>
            <rFont val="Tahoma"/>
            <family val="2"/>
          </rPr>
          <t xml:space="preserve"> ≤ 1
r = 0: keine Vermeidung in dieser Ebene des Netzbetreibers, komplete Ausspeisung
r = 1: Vermeidung vollständig in dieser Ebene des Netzbetreibers, keine Ausspeisungen</t>
        </r>
      </text>
    </comment>
    <comment ref="P15" authorId="0" shapeId="0" xr:uid="{00000000-0006-0000-0900-000007000000}">
      <text>
        <r>
          <rPr>
            <b/>
            <sz val="11"/>
            <color indexed="81"/>
            <rFont val="Tahoma"/>
            <family val="2"/>
          </rPr>
          <t>GW:</t>
        </r>
        <r>
          <rPr>
            <sz val="11"/>
            <color indexed="81"/>
            <rFont val="Tahoma"/>
            <family val="2"/>
          </rPr>
          <t xml:space="preserve">
Der VDN-Leitfaden betrachtet die Vergütung/Verrrechnung für Arbeit und Leistung in Summe, so dass nach dem VDN-Leitfaden auch nicht leistungsgemessene Einspeiser einen Anteil der erhaltenen Rückspeisevergütung für Leistung erhalten. Dieses Verfahren halten wir deshalb nicht für sachgerecht und betrachten in diesem Tool die Vergütung/Verrechnung für 
Arbeit und Leistung getrennt.
</t>
        </r>
      </text>
    </comment>
    <comment ref="A16" authorId="0" shapeId="0" xr:uid="{00000000-0006-0000-0900-000008000000}">
      <text>
        <r>
          <rPr>
            <b/>
            <sz val="11"/>
            <color indexed="81"/>
            <rFont val="Tahoma"/>
            <family val="2"/>
          </rPr>
          <t>GW:</t>
        </r>
        <r>
          <rPr>
            <sz val="11"/>
            <color indexed="81"/>
            <rFont val="Tahoma"/>
            <family val="2"/>
          </rPr>
          <t xml:space="preserve">
§ 18 </t>
        </r>
        <r>
          <rPr>
            <u/>
            <sz val="11"/>
            <color indexed="81"/>
            <rFont val="Tahoma"/>
            <family val="2"/>
          </rPr>
          <t>Abs. 1</t>
        </r>
        <r>
          <rPr>
            <sz val="11"/>
            <color indexed="81"/>
            <rFont val="Tahoma"/>
            <family val="2"/>
          </rPr>
          <t xml:space="preserve"> Satz 3 StromNEV: „Dieses Entgelt muss den gegenüber den vorgelagerten Netz- oder Umspannebenen durch die jeweiligen Einspeisungen vermiedenen Netzentgelten entsprechen.“
§ 18 </t>
        </r>
        <r>
          <rPr>
            <u/>
            <sz val="11"/>
            <color indexed="81"/>
            <rFont val="Tahoma"/>
            <family val="2"/>
          </rPr>
          <t>Abs. 2</t>
        </r>
        <r>
          <rPr>
            <sz val="11"/>
            <color indexed="81"/>
            <rFont val="Tahoma"/>
            <family val="2"/>
          </rPr>
          <t xml:space="preserve"> Satz 2 StromNEV: „Maßgeblich sind die tatsächliche Vermeidungsarbeit in Kilowattstunden, die tatsächliche Vermeidungsleistung in Kilowatt und die Netzentgelte der vorgelagerten Netz- oder Umspannebene.“
Beide Vorschriften führen zwar grundsätzlich zum gleichen Ergebnis, in Einzelfällen treten jedoch Abweichungen auf. 
Zunächst kann man sich vergegenwärtigen, dass im Fall von mindestens zwei ungepoolten Übergabestellen der gewählte Ansatz (Summe der Jahreshöchstlasten lt. Eingangsrechnungen) zum richtigen eingesparten Entgelt führt (vgl. § 18 Abs. 1 Satz 2 StromNEV): Der Netzbetreiber bezahlt ein Leistungsentgelt für die auf den Rechnungen ausgewiesen Leistungswerte. Die maximale Bezuglast (</t>
        </r>
        <r>
          <rPr>
            <i/>
            <sz val="11"/>
            <color indexed="81"/>
            <rFont val="Tahoma"/>
            <family val="2"/>
          </rPr>
          <t>P</t>
        </r>
        <r>
          <rPr>
            <i/>
            <vertAlign val="subscript"/>
            <sz val="11"/>
            <color indexed="81"/>
            <rFont val="Tahoma"/>
            <family val="2"/>
          </rPr>
          <t>B,max</t>
        </r>
        <r>
          <rPr>
            <sz val="11"/>
            <color indexed="81"/>
            <rFont val="Tahoma"/>
            <family val="2"/>
          </rPr>
          <t xml:space="preserve">), für die der Netzbetreiber bezahlt hat, ergibt sich damit als Summe der auf den Rechnungen ausgewiesenen Leistungswerte. Für die in der Regel positive Differenz </t>
        </r>
        <r>
          <rPr>
            <i/>
            <sz val="11"/>
            <color indexed="81"/>
            <rFont val="Tahoma"/>
            <family val="2"/>
          </rPr>
          <t>P</t>
        </r>
        <r>
          <rPr>
            <i/>
            <vertAlign val="subscript"/>
            <sz val="11"/>
            <color indexed="81"/>
            <rFont val="Tahoma"/>
            <family val="2"/>
          </rPr>
          <t>E,max</t>
        </r>
        <r>
          <rPr>
            <sz val="11"/>
            <color indexed="81"/>
            <rFont val="Tahoma"/>
            <family val="2"/>
          </rPr>
          <t xml:space="preserve"> – </t>
        </r>
        <r>
          <rPr>
            <i/>
            <sz val="11"/>
            <color indexed="81"/>
            <rFont val="Tahoma"/>
            <family val="2"/>
          </rPr>
          <t>P</t>
        </r>
        <r>
          <rPr>
            <i/>
            <vertAlign val="subscript"/>
            <sz val="11"/>
            <color indexed="81"/>
            <rFont val="Tahoma"/>
            <family val="2"/>
          </rPr>
          <t>B,max</t>
        </r>
        <r>
          <rPr>
            <sz val="11"/>
            <color indexed="81"/>
            <rFont val="Tahoma"/>
            <family val="2"/>
          </rPr>
          <t xml:space="preserve"> spart sich der Netzbetreiber ein Leistungsentgelt des vorgelagerten Netzbetreibers. Deshalb ist </t>
        </r>
        <r>
          <rPr>
            <i/>
            <sz val="11"/>
            <color indexed="81"/>
            <rFont val="Tahoma"/>
            <family val="2"/>
          </rPr>
          <t>P</t>
        </r>
        <r>
          <rPr>
            <i/>
            <vertAlign val="subscript"/>
            <sz val="11"/>
            <color indexed="81"/>
            <rFont val="Tahoma"/>
            <family val="2"/>
          </rPr>
          <t>E,max</t>
        </r>
        <r>
          <rPr>
            <i/>
            <sz val="11"/>
            <color indexed="81"/>
            <rFont val="Tahoma"/>
            <family val="2"/>
          </rPr>
          <t xml:space="preserve"> – P</t>
        </r>
        <r>
          <rPr>
            <i/>
            <vertAlign val="subscript"/>
            <sz val="11"/>
            <color indexed="81"/>
            <rFont val="Tahoma"/>
            <family val="2"/>
          </rPr>
          <t>B,max</t>
        </r>
        <r>
          <rPr>
            <sz val="11"/>
            <color indexed="81"/>
            <rFont val="Tahoma"/>
            <family val="2"/>
          </rPr>
          <t xml:space="preserve"> die tatsächliche Vermeidungsleistung. In Extremfällen ist </t>
        </r>
        <r>
          <rPr>
            <i/>
            <sz val="11"/>
            <color indexed="81"/>
            <rFont val="Tahoma"/>
            <family val="2"/>
          </rPr>
          <t>P</t>
        </r>
        <r>
          <rPr>
            <i/>
            <vertAlign val="subscript"/>
            <sz val="11"/>
            <color indexed="81"/>
            <rFont val="Tahoma"/>
            <family val="2"/>
          </rPr>
          <t>B,max</t>
        </r>
        <r>
          <rPr>
            <sz val="11"/>
            <color indexed="81"/>
            <rFont val="Tahoma"/>
            <family val="2"/>
          </rPr>
          <t xml:space="preserve"> größer als </t>
        </r>
        <r>
          <rPr>
            <i/>
            <sz val="11"/>
            <color indexed="81"/>
            <rFont val="Tahoma"/>
            <family val="2"/>
          </rPr>
          <t>P</t>
        </r>
        <r>
          <rPr>
            <i/>
            <vertAlign val="subscript"/>
            <sz val="11"/>
            <color indexed="81"/>
            <rFont val="Tahoma"/>
            <family val="2"/>
          </rPr>
          <t>E,max</t>
        </r>
        <r>
          <rPr>
            <sz val="11"/>
            <color indexed="81"/>
            <rFont val="Tahoma"/>
            <family val="2"/>
          </rPr>
          <t xml:space="preserve">, so dass trotz dezentraler Einspeisung keine Leistung vermieden wird.
Der gewählte Ansatz führt nur dann zum richtigen eingesparten Entgelt, falls der NB ein zusammenhängendes Netzgebiet hat. Deshalb ist im Fall von mehreren nicht zusammenhängenden Netzen, dieses Tool für jedes Netz zu befüllen. Auf diese Weise können auch unterschiedliche vorgelagerte Netzentgelte in den verschiedenen Netzgebieten berücksichtigt werden.
Auch nach § 18 </t>
        </r>
        <r>
          <rPr>
            <u/>
            <sz val="11"/>
            <color indexed="81"/>
            <rFont val="Tahoma"/>
            <family val="2"/>
          </rPr>
          <t>Abs. 2</t>
        </r>
        <r>
          <rPr>
            <sz val="11"/>
            <color indexed="81"/>
            <rFont val="Tahoma"/>
            <family val="2"/>
          </rPr>
          <t xml:space="preserve"> Satz 2 StromNEV, wonach tatsächliche physikalische Größen maßgeblich sind, ergibt sich kein anderes Ergebnis: Die auf den Rechnungen ausgewiesenen Leistungen wurden nämlich tatsächlich bezogen, nicht aber der höchste Leistungswert des Summenlastgangs aller Bezüge.
Im Falle von mehreren Übergabestellen auf verschiedenen Ebenen gibt es in den Rechnungen kein Pooling. Auch bei der Ermittlung der vermiedenen Netzentgelte ist in diesem Fall kein Pooling anzusetzen, da
- es bei den vermiedenen Netzentgelten keinen neuen Pooling-Begriff gibt und
- wie oben ausgeführt nur eine Leistung in Höhe  </t>
        </r>
        <r>
          <rPr>
            <i/>
            <sz val="11"/>
            <color indexed="81"/>
            <rFont val="Tahoma"/>
            <family val="2"/>
          </rPr>
          <t>P</t>
        </r>
        <r>
          <rPr>
            <i/>
            <vertAlign val="subscript"/>
            <sz val="11"/>
            <color indexed="81"/>
            <rFont val="Tahoma"/>
            <family val="2"/>
          </rPr>
          <t>E,max</t>
        </r>
        <r>
          <rPr>
            <i/>
            <sz val="11"/>
            <color indexed="81"/>
            <rFont val="Tahoma"/>
            <family val="2"/>
          </rPr>
          <t xml:space="preserve"> – P</t>
        </r>
        <r>
          <rPr>
            <i/>
            <vertAlign val="subscript"/>
            <sz val="11"/>
            <color indexed="81"/>
            <rFont val="Tahoma"/>
            <family val="2"/>
          </rPr>
          <t>B,max</t>
        </r>
        <r>
          <rPr>
            <sz val="11"/>
            <color indexed="81"/>
            <rFont val="Tahoma"/>
            <family val="2"/>
          </rPr>
          <t xml:space="preserve"> vermieden wird und auch nur diese Leistung zu Kosten beim Netzbetreiber führen kann.
</t>
        </r>
        <r>
          <rPr>
            <u/>
            <sz val="11"/>
            <color indexed="81"/>
            <rFont val="Tahoma"/>
            <family val="2"/>
          </rPr>
          <t>Pooling</t>
        </r>
        <r>
          <rPr>
            <sz val="11"/>
            <color indexed="81"/>
            <rFont val="Tahoma"/>
            <family val="2"/>
          </rPr>
          <t xml:space="preserve"> ist der Oberbegriff für die
1. zeitgleiche und vorzeichengerechte Addition der Lastgangzeitreichen gemäß § 17 Abs. 2a Satz 4 Nr. 1 (Synonyme: Saldierung, Überlagerung, Vektoraddition)
2. zeitgleiche Addition der richtungsgleichen Lastgangzeitreihen gemäß § 17 Abs. 2a Satz 4 Nr. 2 (Synonym: Poolung)
</t>
        </r>
      </text>
    </comment>
    <comment ref="P16" authorId="0" shapeId="0" xr:uid="{00000000-0006-0000-0900-000009000000}">
      <text>
        <r>
          <rPr>
            <b/>
            <sz val="11"/>
            <color indexed="81"/>
            <rFont val="Tahoma"/>
            <family val="2"/>
          </rPr>
          <t>GW:</t>
        </r>
        <r>
          <rPr>
            <sz val="11"/>
            <color indexed="81"/>
            <rFont val="Tahoma"/>
            <family val="2"/>
          </rPr>
          <t xml:space="preserve">
Die Zahlen werden nur zur Verdeutlichung ausgewiesen und haben keinen Nachfolger.</t>
        </r>
      </text>
    </comment>
    <comment ref="P17" authorId="0" shapeId="0" xr:uid="{00000000-0006-0000-0900-00000A000000}">
      <text>
        <r>
          <rPr>
            <b/>
            <sz val="11"/>
            <color indexed="81"/>
            <rFont val="Tahoma"/>
            <family val="2"/>
          </rPr>
          <t>GW:</t>
        </r>
        <r>
          <rPr>
            <sz val="11"/>
            <color indexed="81"/>
            <rFont val="Tahoma"/>
            <family val="2"/>
          </rPr>
          <t xml:space="preserve">
Die Zahlen werden nur zur Verdeutlichung ausgewiesen und haben keinen Nachfolger.
Die erhaltene RSV für Arbeit sollte vollständig an die Einspeiser weitergeben werden. Trifft dies nicht zu erscheint die Zelle rot.
Die erhaltene RSV für Leistung sollte nach dem Anteil der leistungsgemessenen Einspeisern an allen Einspeisern auf Basis des verwendeten Schlüssels an die leistungsgemessenen Einspeiser weitergegeben werden. Trifft dies nicht zu erscheint die Zelle rot.
</t>
        </r>
      </text>
    </comment>
    <comment ref="P19" authorId="0" shapeId="0" xr:uid="{00000000-0006-0000-0900-00000B000000}">
      <text>
        <r>
          <rPr>
            <b/>
            <sz val="11"/>
            <color indexed="81"/>
            <rFont val="Tahoma"/>
            <family val="2"/>
          </rPr>
          <t>GW:</t>
        </r>
        <r>
          <rPr>
            <sz val="11"/>
            <color indexed="81"/>
            <rFont val="Tahoma"/>
            <family val="2"/>
          </rPr>
          <t xml:space="preserve">
Dieser Kasten wird nur benötigt, falls die erhaltene RSV für Leistung nach dem Schlüssel 2 an die Einspeiser weitergegeben wird. Nur in diesem Fall muss der Kasten auch befüllt werden.</t>
        </r>
      </text>
    </comment>
    <comment ref="C20" authorId="0" shapeId="0" xr:uid="{00000000-0006-0000-0900-00000C000000}">
      <text>
        <r>
          <rPr>
            <b/>
            <sz val="11"/>
            <color indexed="81"/>
            <rFont val="Tahoma"/>
            <family val="2"/>
          </rPr>
          <t>GW:</t>
        </r>
        <r>
          <rPr>
            <sz val="11"/>
            <color indexed="81"/>
            <rFont val="Tahoma"/>
            <family val="2"/>
          </rPr>
          <t xml:space="preserve">
Diese Zelle erschein rot, wenn die Rechnung unten zu einem anderen Wert führt.</t>
        </r>
      </text>
    </comment>
    <comment ref="L22" authorId="0" shapeId="0" xr:uid="{00000000-0006-0000-0900-00000D000000}">
      <text>
        <r>
          <rPr>
            <b/>
            <sz val="11"/>
            <color indexed="81"/>
            <rFont val="Segoe UI"/>
            <family val="2"/>
          </rPr>
          <t>GW:</t>
        </r>
        <r>
          <rPr>
            <sz val="11"/>
            <color indexed="81"/>
            <rFont val="Segoe UI"/>
            <family val="2"/>
          </rPr>
          <t xml:space="preserve">
Ein Einspeiser behält auch im Fall eines Netzübergangs sein Referenzpreisblatt. 
Neue Einspeiser nach dem Netzübergang erhalten das Referenzpreisblatt des aktuellen Netzbetreibers (vgl. § 120 Abs. 4 EnWG)</t>
        </r>
      </text>
    </comment>
    <comment ref="M22" authorId="0" shapeId="0" xr:uid="{00000000-0006-0000-0900-00000E000000}">
      <text>
        <r>
          <rPr>
            <b/>
            <sz val="11"/>
            <color indexed="81"/>
            <rFont val="Tahoma"/>
            <family val="2"/>
          </rPr>
          <t>GW:</t>
        </r>
        <r>
          <rPr>
            <sz val="11"/>
            <color indexed="81"/>
            <rFont val="Tahoma"/>
            <family val="2"/>
          </rPr>
          <t xml:space="preserve">
</t>
        </r>
        <r>
          <rPr>
            <u/>
            <sz val="11"/>
            <color indexed="81"/>
            <rFont val="Tahoma"/>
            <family val="2"/>
          </rPr>
          <t>Bezug von der vorgelagerten Netzebene mit mehreren Preisen</t>
        </r>
        <r>
          <rPr>
            <sz val="11"/>
            <color indexed="81"/>
            <rFont val="Tahoma"/>
            <family val="2"/>
          </rPr>
          <t xml:space="preserve">
Gibt es für die vorgelagerte Netzebene mehrere Preise</t>
        </r>
        <r>
          <rPr>
            <u/>
            <sz val="11"/>
            <color indexed="81"/>
            <rFont val="Tahoma"/>
            <family val="2"/>
          </rPr>
          <t>,</t>
        </r>
        <r>
          <rPr>
            <sz val="11"/>
            <color indexed="81"/>
            <rFont val="Tahoma"/>
            <family val="2"/>
          </rPr>
          <t xml:space="preserve"> muss ein gewichteter Durchschnittspreis ermittelt werden. Dies gilt sowohl für das Preisblatt des betrachteten Jahres, als auch für das Referenzpreisblatt. Wurden von der vorgelagerten Netzebene die Mengen m</t>
        </r>
        <r>
          <rPr>
            <vertAlign val="subscript"/>
            <sz val="11"/>
            <color indexed="81"/>
            <rFont val="Tahoma"/>
            <family val="2"/>
          </rPr>
          <t>1</t>
        </r>
        <r>
          <rPr>
            <sz val="11"/>
            <color indexed="81"/>
            <rFont val="Tahoma"/>
            <family val="2"/>
          </rPr>
          <t>, m</t>
        </r>
        <r>
          <rPr>
            <vertAlign val="subscript"/>
            <sz val="11"/>
            <color indexed="81"/>
            <rFont val="Tahoma"/>
            <family val="2"/>
          </rPr>
          <t>2</t>
        </r>
        <r>
          <rPr>
            <sz val="11"/>
            <color indexed="81"/>
            <rFont val="Tahoma"/>
            <family val="2"/>
          </rPr>
          <t>, ... mit den Preisen p</t>
        </r>
        <r>
          <rPr>
            <vertAlign val="subscript"/>
            <sz val="11"/>
            <color indexed="81"/>
            <rFont val="Tahoma"/>
            <family val="2"/>
          </rPr>
          <t>1</t>
        </r>
        <r>
          <rPr>
            <sz val="11"/>
            <color indexed="81"/>
            <rFont val="Tahoma"/>
            <family val="2"/>
          </rPr>
          <t>, p</t>
        </r>
        <r>
          <rPr>
            <vertAlign val="subscript"/>
            <sz val="11"/>
            <color indexed="81"/>
            <rFont val="Tahoma"/>
            <family val="2"/>
          </rPr>
          <t>2</t>
        </r>
        <r>
          <rPr>
            <sz val="11"/>
            <color indexed="81"/>
            <rFont val="Tahoma"/>
            <family val="2"/>
          </rPr>
          <t>, ... bezogen ergibt sich der gewichtete Durchschnittspreis zu
(m</t>
        </r>
        <r>
          <rPr>
            <vertAlign val="subscript"/>
            <sz val="11"/>
            <color indexed="81"/>
            <rFont val="Tahoma"/>
            <family val="2"/>
          </rPr>
          <t>1</t>
        </r>
        <r>
          <rPr>
            <sz val="11"/>
            <color indexed="81"/>
            <rFont val="Tahoma"/>
            <family val="2"/>
          </rPr>
          <t>*p</t>
        </r>
        <r>
          <rPr>
            <vertAlign val="subscript"/>
            <sz val="11"/>
            <color indexed="81"/>
            <rFont val="Tahoma"/>
            <family val="2"/>
          </rPr>
          <t>1</t>
        </r>
        <r>
          <rPr>
            <sz val="11"/>
            <color indexed="81"/>
            <rFont val="Tahoma"/>
            <family val="2"/>
          </rPr>
          <t>+m</t>
        </r>
        <r>
          <rPr>
            <vertAlign val="subscript"/>
            <sz val="11"/>
            <color indexed="81"/>
            <rFont val="Tahoma"/>
            <family val="2"/>
          </rPr>
          <t>2</t>
        </r>
        <r>
          <rPr>
            <sz val="11"/>
            <color indexed="81"/>
            <rFont val="Tahoma"/>
            <family val="2"/>
          </rPr>
          <t>*p</t>
        </r>
        <r>
          <rPr>
            <vertAlign val="subscript"/>
            <sz val="11"/>
            <color indexed="81"/>
            <rFont val="Tahoma"/>
            <family val="2"/>
          </rPr>
          <t>2</t>
        </r>
        <r>
          <rPr>
            <sz val="11"/>
            <color indexed="81"/>
            <rFont val="Tahoma"/>
            <family val="2"/>
          </rPr>
          <t>+⋯) / (m</t>
        </r>
        <r>
          <rPr>
            <vertAlign val="subscript"/>
            <sz val="11"/>
            <color indexed="81"/>
            <rFont val="Tahoma"/>
            <family val="2"/>
          </rPr>
          <t>1</t>
        </r>
        <r>
          <rPr>
            <sz val="11"/>
            <color indexed="81"/>
            <rFont val="Tahoma"/>
            <family val="2"/>
          </rPr>
          <t>+m</t>
        </r>
        <r>
          <rPr>
            <vertAlign val="subscript"/>
            <sz val="11"/>
            <color indexed="81"/>
            <rFont val="Tahoma"/>
            <family val="2"/>
          </rPr>
          <t>2</t>
        </r>
        <r>
          <rPr>
            <sz val="11"/>
            <color indexed="81"/>
            <rFont val="Tahoma"/>
            <family val="2"/>
          </rPr>
          <t>+⋯)=m</t>
        </r>
        <r>
          <rPr>
            <vertAlign val="subscript"/>
            <sz val="11"/>
            <color indexed="81"/>
            <rFont val="Tahoma"/>
            <family val="2"/>
          </rPr>
          <t>1</t>
        </r>
        <r>
          <rPr>
            <sz val="11"/>
            <color indexed="81"/>
            <rFont val="Tahoma"/>
            <family val="2"/>
          </rPr>
          <t>/(m</t>
        </r>
        <r>
          <rPr>
            <vertAlign val="subscript"/>
            <sz val="11"/>
            <color indexed="81"/>
            <rFont val="Tahoma"/>
            <family val="2"/>
          </rPr>
          <t>1</t>
        </r>
        <r>
          <rPr>
            <sz val="11"/>
            <color indexed="81"/>
            <rFont val="Tahoma"/>
            <family val="2"/>
          </rPr>
          <t>+m</t>
        </r>
        <r>
          <rPr>
            <vertAlign val="subscript"/>
            <sz val="11"/>
            <color indexed="81"/>
            <rFont val="Tahoma"/>
            <family val="2"/>
          </rPr>
          <t>2</t>
        </r>
        <r>
          <rPr>
            <sz val="11"/>
            <color indexed="81"/>
            <rFont val="Tahoma"/>
            <family val="2"/>
          </rPr>
          <t>+⋯) * p</t>
        </r>
        <r>
          <rPr>
            <vertAlign val="subscript"/>
            <sz val="11"/>
            <color indexed="81"/>
            <rFont val="Tahoma"/>
            <family val="2"/>
          </rPr>
          <t xml:space="preserve">1 </t>
        </r>
        <r>
          <rPr>
            <sz val="11"/>
            <color indexed="81"/>
            <rFont val="Tahoma"/>
            <family val="2"/>
          </rPr>
          <t>+ m</t>
        </r>
        <r>
          <rPr>
            <vertAlign val="subscript"/>
            <sz val="11"/>
            <color indexed="81"/>
            <rFont val="Tahoma"/>
            <family val="2"/>
          </rPr>
          <t>2</t>
        </r>
        <r>
          <rPr>
            <sz val="11"/>
            <color indexed="81"/>
            <rFont val="Tahoma"/>
            <family val="2"/>
          </rPr>
          <t>/(m</t>
        </r>
        <r>
          <rPr>
            <vertAlign val="subscript"/>
            <sz val="11"/>
            <color indexed="81"/>
            <rFont val="Tahoma"/>
            <family val="2"/>
          </rPr>
          <t>1</t>
        </r>
        <r>
          <rPr>
            <sz val="11"/>
            <color indexed="81"/>
            <rFont val="Tahoma"/>
            <family val="2"/>
          </rPr>
          <t>+m</t>
        </r>
        <r>
          <rPr>
            <vertAlign val="subscript"/>
            <sz val="11"/>
            <color indexed="81"/>
            <rFont val="Tahoma"/>
            <family val="2"/>
          </rPr>
          <t>2</t>
        </r>
        <r>
          <rPr>
            <sz val="11"/>
            <color indexed="81"/>
            <rFont val="Tahoma"/>
            <family val="2"/>
          </rPr>
          <t>+⋯) * p</t>
        </r>
        <r>
          <rPr>
            <vertAlign val="subscript"/>
            <sz val="11"/>
            <color indexed="81"/>
            <rFont val="Tahoma"/>
            <family val="2"/>
          </rPr>
          <t>2</t>
        </r>
        <r>
          <rPr>
            <sz val="11"/>
            <color indexed="81"/>
            <rFont val="Tahoma"/>
            <family val="2"/>
          </rPr>
          <t xml:space="preserve"> +⋯
Im Fall mehrerer Preise für die vorgelagere Netzebene ändert sich das Referenzpreisblatt von Jahr zu Jahr, da sich die Gewichtung der zugrunde zu legenden Referenzpreisblätter von Jahr zu Jahr ändert.
</t>
        </r>
        <r>
          <rPr>
            <u/>
            <sz val="11"/>
            <color indexed="81"/>
            <rFont val="Tahoma"/>
            <family val="2"/>
          </rPr>
          <t>Pancaking (Bezug von dergleichen Netzebene)</t>
        </r>
        <r>
          <rPr>
            <sz val="11"/>
            <color indexed="81"/>
            <rFont val="Tahoma"/>
            <family val="2"/>
          </rPr>
          <t xml:space="preserve">
Es </t>
        </r>
        <r>
          <rPr>
            <i/>
            <sz val="11"/>
            <color indexed="81"/>
            <rFont val="Tahoma"/>
            <family val="2"/>
          </rPr>
          <t>können</t>
        </r>
        <r>
          <rPr>
            <sz val="11"/>
            <color indexed="81"/>
            <rFont val="Tahoma"/>
            <family val="2"/>
          </rPr>
          <t xml:space="preserve"> auch dann die Referenzpreise des vorgelagerten Netzes herangezogen werden, wenn die vorgelagerte Ebene und die Einspeiseebene identisch sind  (Hinweise der BNetzA für Verteilernetzbetreiber zur Anpassung der Erlösobergrenze für 2019, dort Punkt 11.2.4). 
Aus Gründen der Gleichbehandlung </t>
        </r>
        <r>
          <rPr>
            <i/>
            <sz val="11"/>
            <color indexed="81"/>
            <rFont val="Tahoma"/>
            <family val="2"/>
          </rPr>
          <t>sind</t>
        </r>
        <r>
          <rPr>
            <sz val="11"/>
            <color indexed="81"/>
            <rFont val="Tahoma"/>
            <family val="2"/>
          </rPr>
          <t xml:space="preserve"> m. E. 
- immer die Netzentgelte des vorgelagerten Netzes heranzuziehen, auch wenn die vorgelagerte Ebene und die Einspeiseebene identisch sind.
- die tatsächlich gezahlten Netzentgelte heranzuziehen, auch wenn den Einspeisern ein eventuell vorliegender Rabatt auf die regulären vorgelagerten Netzentgelten infolge einer Pancaking-Vereinbarung nicht bekannt ist.
Ein Rabatt auf die regulären vorgelagerten Netzentgelte ist auf das Referenzpreisblatt zu übertragen.
</t>
        </r>
        <r>
          <rPr>
            <u/>
            <sz val="11"/>
            <color indexed="81"/>
            <rFont val="Tahoma"/>
            <family val="2"/>
          </rPr>
          <t>Bezug von der vorgelagerten und von dergleichen Netzebene</t>
        </r>
        <r>
          <rPr>
            <sz val="11"/>
            <color indexed="81"/>
            <rFont val="Tahoma"/>
            <family val="2"/>
          </rPr>
          <t xml:space="preserve">
Auch beim Bezug von der vorgelagerten und von dergleichen Netzebene via Pancaking ist wie beim Bezug von der vorgelagerten Netzebene mit mehreren Preisen ein gewichteter Durchschnittspreis zu bilden. In den Durchschnittspreis gehen die Preise von verschiedenen Netzebenen ein.
Auch wenn tatsächlich mit dem </t>
        </r>
        <r>
          <rPr>
            <u/>
            <sz val="11"/>
            <color indexed="81"/>
            <rFont val="Tahoma"/>
            <family val="2"/>
          </rPr>
          <t>Preis kleiner 2.500 h</t>
        </r>
        <r>
          <rPr>
            <sz val="11"/>
            <color indexed="81"/>
            <rFont val="Tahoma"/>
            <family val="2"/>
          </rPr>
          <t xml:space="preserve"> bezogen wird, ist der Preis über 2.500 h heranzuziehen (Hinweise der BNetzA für Verteilernetzbetreiber zur Anpassung der Erlösobergrenze für 2019, dort Punkt 11.2.1).
</t>
        </r>
      </text>
    </comment>
    <comment ref="N22" authorId="0" shapeId="0" xr:uid="{00000000-0006-0000-0900-00000F000000}">
      <text>
        <r>
          <rPr>
            <b/>
            <sz val="11"/>
            <color indexed="81"/>
            <rFont val="Tahoma"/>
            <family val="2"/>
          </rPr>
          <t>GW:</t>
        </r>
        <r>
          <rPr>
            <sz val="11"/>
            <color indexed="81"/>
            <rFont val="Tahoma"/>
            <family val="2"/>
          </rPr>
          <t xml:space="preserve">
</t>
        </r>
        <r>
          <rPr>
            <u/>
            <sz val="11"/>
            <color indexed="81"/>
            <rFont val="Tahoma"/>
            <family val="2"/>
          </rPr>
          <t>Bezug von der vorgelagerten Netzebene mit mehreren Preisen</t>
        </r>
        <r>
          <rPr>
            <sz val="11"/>
            <color indexed="81"/>
            <rFont val="Tahoma"/>
            <family val="2"/>
          </rPr>
          <t xml:space="preserve">
Gibt es für die vorgelagerte Netzebene mehrere Preise</t>
        </r>
        <r>
          <rPr>
            <u/>
            <sz val="11"/>
            <color indexed="81"/>
            <rFont val="Tahoma"/>
            <family val="2"/>
          </rPr>
          <t>,</t>
        </r>
        <r>
          <rPr>
            <sz val="11"/>
            <color indexed="81"/>
            <rFont val="Tahoma"/>
            <family val="2"/>
          </rPr>
          <t xml:space="preserve"> muss ein gewichteter Durchschnittspreis ermittelt werden. Dies gilt sowohl für das Preisblatt des betrachteten Jahres, als auch für das Referenzpreisblatt. Wurden von der vorgelagerten Netzebene die Mengen m</t>
        </r>
        <r>
          <rPr>
            <vertAlign val="subscript"/>
            <sz val="11"/>
            <color indexed="81"/>
            <rFont val="Tahoma"/>
            <family val="2"/>
          </rPr>
          <t>1</t>
        </r>
        <r>
          <rPr>
            <sz val="11"/>
            <color indexed="81"/>
            <rFont val="Tahoma"/>
            <family val="2"/>
          </rPr>
          <t>, m</t>
        </r>
        <r>
          <rPr>
            <vertAlign val="subscript"/>
            <sz val="11"/>
            <color indexed="81"/>
            <rFont val="Tahoma"/>
            <family val="2"/>
          </rPr>
          <t>2</t>
        </r>
        <r>
          <rPr>
            <sz val="11"/>
            <color indexed="81"/>
            <rFont val="Tahoma"/>
            <family val="2"/>
          </rPr>
          <t>, ... mit den Preisen p</t>
        </r>
        <r>
          <rPr>
            <vertAlign val="subscript"/>
            <sz val="11"/>
            <color indexed="81"/>
            <rFont val="Tahoma"/>
            <family val="2"/>
          </rPr>
          <t>1</t>
        </r>
        <r>
          <rPr>
            <sz val="11"/>
            <color indexed="81"/>
            <rFont val="Tahoma"/>
            <family val="2"/>
          </rPr>
          <t>, p</t>
        </r>
        <r>
          <rPr>
            <vertAlign val="subscript"/>
            <sz val="11"/>
            <color indexed="81"/>
            <rFont val="Tahoma"/>
            <family val="2"/>
          </rPr>
          <t>2</t>
        </r>
        <r>
          <rPr>
            <sz val="11"/>
            <color indexed="81"/>
            <rFont val="Tahoma"/>
            <family val="2"/>
          </rPr>
          <t>, ... bezogen ergibt sich der gewichtete Durchschnittspreis zu
(m</t>
        </r>
        <r>
          <rPr>
            <vertAlign val="subscript"/>
            <sz val="11"/>
            <color indexed="81"/>
            <rFont val="Tahoma"/>
            <family val="2"/>
          </rPr>
          <t>1</t>
        </r>
        <r>
          <rPr>
            <sz val="11"/>
            <color indexed="81"/>
            <rFont val="Tahoma"/>
            <family val="2"/>
          </rPr>
          <t>*p</t>
        </r>
        <r>
          <rPr>
            <vertAlign val="subscript"/>
            <sz val="11"/>
            <color indexed="81"/>
            <rFont val="Tahoma"/>
            <family val="2"/>
          </rPr>
          <t>1</t>
        </r>
        <r>
          <rPr>
            <sz val="11"/>
            <color indexed="81"/>
            <rFont val="Tahoma"/>
            <family val="2"/>
          </rPr>
          <t>+m</t>
        </r>
        <r>
          <rPr>
            <vertAlign val="subscript"/>
            <sz val="11"/>
            <color indexed="81"/>
            <rFont val="Tahoma"/>
            <family val="2"/>
          </rPr>
          <t>2</t>
        </r>
        <r>
          <rPr>
            <sz val="11"/>
            <color indexed="81"/>
            <rFont val="Tahoma"/>
            <family val="2"/>
          </rPr>
          <t>*p</t>
        </r>
        <r>
          <rPr>
            <vertAlign val="subscript"/>
            <sz val="11"/>
            <color indexed="81"/>
            <rFont val="Tahoma"/>
            <family val="2"/>
          </rPr>
          <t>2</t>
        </r>
        <r>
          <rPr>
            <sz val="11"/>
            <color indexed="81"/>
            <rFont val="Tahoma"/>
            <family val="2"/>
          </rPr>
          <t>+⋯) / (m</t>
        </r>
        <r>
          <rPr>
            <vertAlign val="subscript"/>
            <sz val="11"/>
            <color indexed="81"/>
            <rFont val="Tahoma"/>
            <family val="2"/>
          </rPr>
          <t>1</t>
        </r>
        <r>
          <rPr>
            <sz val="11"/>
            <color indexed="81"/>
            <rFont val="Tahoma"/>
            <family val="2"/>
          </rPr>
          <t>+m</t>
        </r>
        <r>
          <rPr>
            <vertAlign val="subscript"/>
            <sz val="11"/>
            <color indexed="81"/>
            <rFont val="Tahoma"/>
            <family val="2"/>
          </rPr>
          <t>2</t>
        </r>
        <r>
          <rPr>
            <sz val="11"/>
            <color indexed="81"/>
            <rFont val="Tahoma"/>
            <family val="2"/>
          </rPr>
          <t>+⋯)=m</t>
        </r>
        <r>
          <rPr>
            <vertAlign val="subscript"/>
            <sz val="11"/>
            <color indexed="81"/>
            <rFont val="Tahoma"/>
            <family val="2"/>
          </rPr>
          <t>1</t>
        </r>
        <r>
          <rPr>
            <sz val="11"/>
            <color indexed="81"/>
            <rFont val="Tahoma"/>
            <family val="2"/>
          </rPr>
          <t>/(m</t>
        </r>
        <r>
          <rPr>
            <vertAlign val="subscript"/>
            <sz val="11"/>
            <color indexed="81"/>
            <rFont val="Tahoma"/>
            <family val="2"/>
          </rPr>
          <t>1</t>
        </r>
        <r>
          <rPr>
            <sz val="11"/>
            <color indexed="81"/>
            <rFont val="Tahoma"/>
            <family val="2"/>
          </rPr>
          <t>+m</t>
        </r>
        <r>
          <rPr>
            <vertAlign val="subscript"/>
            <sz val="11"/>
            <color indexed="81"/>
            <rFont val="Tahoma"/>
            <family val="2"/>
          </rPr>
          <t>2</t>
        </r>
        <r>
          <rPr>
            <sz val="11"/>
            <color indexed="81"/>
            <rFont val="Tahoma"/>
            <family val="2"/>
          </rPr>
          <t>+⋯) * p</t>
        </r>
        <r>
          <rPr>
            <vertAlign val="subscript"/>
            <sz val="11"/>
            <color indexed="81"/>
            <rFont val="Tahoma"/>
            <family val="2"/>
          </rPr>
          <t xml:space="preserve">1 </t>
        </r>
        <r>
          <rPr>
            <sz val="11"/>
            <color indexed="81"/>
            <rFont val="Tahoma"/>
            <family val="2"/>
          </rPr>
          <t>+ m</t>
        </r>
        <r>
          <rPr>
            <vertAlign val="subscript"/>
            <sz val="11"/>
            <color indexed="81"/>
            <rFont val="Tahoma"/>
            <family val="2"/>
          </rPr>
          <t>2</t>
        </r>
        <r>
          <rPr>
            <sz val="11"/>
            <color indexed="81"/>
            <rFont val="Tahoma"/>
            <family val="2"/>
          </rPr>
          <t>/(m</t>
        </r>
        <r>
          <rPr>
            <vertAlign val="subscript"/>
            <sz val="11"/>
            <color indexed="81"/>
            <rFont val="Tahoma"/>
            <family val="2"/>
          </rPr>
          <t>1</t>
        </r>
        <r>
          <rPr>
            <sz val="11"/>
            <color indexed="81"/>
            <rFont val="Tahoma"/>
            <family val="2"/>
          </rPr>
          <t>+m</t>
        </r>
        <r>
          <rPr>
            <vertAlign val="subscript"/>
            <sz val="11"/>
            <color indexed="81"/>
            <rFont val="Tahoma"/>
            <family val="2"/>
          </rPr>
          <t>2</t>
        </r>
        <r>
          <rPr>
            <sz val="11"/>
            <color indexed="81"/>
            <rFont val="Tahoma"/>
            <family val="2"/>
          </rPr>
          <t>+⋯) * p</t>
        </r>
        <r>
          <rPr>
            <vertAlign val="subscript"/>
            <sz val="11"/>
            <color indexed="81"/>
            <rFont val="Tahoma"/>
            <family val="2"/>
          </rPr>
          <t>2</t>
        </r>
        <r>
          <rPr>
            <sz val="11"/>
            <color indexed="81"/>
            <rFont val="Tahoma"/>
            <family val="2"/>
          </rPr>
          <t xml:space="preserve"> +⋯
Im Fall mehrerer Preise für die vorgelagere Netzebene ändert sich das Referenzpreisblatt von Jahr zu Jahr, da sich die Gewichtung der zugrunde zu legenden Referenzpreisblätter von Jahr zu Jahr ändert.
</t>
        </r>
        <r>
          <rPr>
            <u/>
            <sz val="11"/>
            <color indexed="81"/>
            <rFont val="Tahoma"/>
            <family val="2"/>
          </rPr>
          <t>Pancaking (Bezug von dergleichen Netzebene)</t>
        </r>
        <r>
          <rPr>
            <sz val="11"/>
            <color indexed="81"/>
            <rFont val="Tahoma"/>
            <family val="2"/>
          </rPr>
          <t xml:space="preserve">
Es </t>
        </r>
        <r>
          <rPr>
            <i/>
            <sz val="11"/>
            <color indexed="81"/>
            <rFont val="Tahoma"/>
            <family val="2"/>
          </rPr>
          <t>können</t>
        </r>
        <r>
          <rPr>
            <sz val="11"/>
            <color indexed="81"/>
            <rFont val="Tahoma"/>
            <family val="2"/>
          </rPr>
          <t xml:space="preserve"> auch dann die Referenzpreise des vorgelagerten Netzes herangezogen werden, wenn die vorgelagerte Ebene und die Einspeiseebene identisch sind  (Hinweise der BNetzA für Verteilernetzbetreiber zur Anpassung der Erlösobergrenze für 2019, dort Punkt 11.2.4). 
Aus Gründen der Gleichbehandlung </t>
        </r>
        <r>
          <rPr>
            <i/>
            <sz val="11"/>
            <color indexed="81"/>
            <rFont val="Tahoma"/>
            <family val="2"/>
          </rPr>
          <t>sind</t>
        </r>
        <r>
          <rPr>
            <sz val="11"/>
            <color indexed="81"/>
            <rFont val="Tahoma"/>
            <family val="2"/>
          </rPr>
          <t xml:space="preserve"> m. E. 
- immer die Netzentgelte des vorgelagerten Netzes heranzuziehen, auch wenn die vorgelagerte Ebene und die Einspeiseebene identisch sind.
- die tatsächlich gezahlten Netzentgelte heranzuziehen, auch wenn den Einspeisern ein eventuell vorliegender Rabatt auf die regulären vorgelagerten Netzentgelten infolge einer Pancaking-Vereinbarung nicht bekannt ist.
Ein Rabatt auf die regulären vorgelagerten Netzentgelte ist auf das Referenzpreisblatt zu übertragen.
</t>
        </r>
        <r>
          <rPr>
            <u/>
            <sz val="11"/>
            <color indexed="81"/>
            <rFont val="Tahoma"/>
            <family val="2"/>
          </rPr>
          <t>Bezug von der vorgelagerten und von dergleichen Netzebene</t>
        </r>
        <r>
          <rPr>
            <sz val="11"/>
            <color indexed="81"/>
            <rFont val="Tahoma"/>
            <family val="2"/>
          </rPr>
          <t xml:space="preserve">
Auch beim Bezug von der vorgelagerten und von dergleichen Netzebene via Pancaking ist wie beim Bezug von der vorgelagerten Netzebene mit mehreren Preisen ein gewichteter Durchschnittspreis zu bilden. In den Durchschnittspreis gehen die Preise von verschiedenen Netzebenen ein.
Auch wenn tatsächlich mit dem </t>
        </r>
        <r>
          <rPr>
            <u/>
            <sz val="11"/>
            <color indexed="81"/>
            <rFont val="Tahoma"/>
            <family val="2"/>
          </rPr>
          <t>Preis kleiner 2.500 h</t>
        </r>
        <r>
          <rPr>
            <sz val="11"/>
            <color indexed="81"/>
            <rFont val="Tahoma"/>
            <family val="2"/>
          </rPr>
          <t xml:space="preserve"> bezogen wird, ist der Preis über 2.500 h heranzuziehen (Hinweise der BNetzA für Verteilernetzbetreiber zur Anpassung der Erlösobergrenze für 2019, dort Punkt 11.2.1).
</t>
        </r>
      </text>
    </comment>
    <comment ref="C28" authorId="0" shapeId="0" xr:uid="{00000000-0006-0000-0900-000010000000}">
      <text>
        <r>
          <rPr>
            <b/>
            <sz val="11"/>
            <color indexed="81"/>
            <rFont val="Tahoma"/>
            <family val="2"/>
          </rPr>
          <t>GW:</t>
        </r>
        <r>
          <rPr>
            <sz val="11"/>
            <color indexed="81"/>
            <rFont val="Tahoma"/>
            <family val="2"/>
          </rPr>
          <t xml:space="preserve">
Das Verfahren im VDN-Leitfaden sieht einen (einheitlichen) Anteilsfaktor </t>
        </r>
        <r>
          <rPr>
            <i/>
            <sz val="11"/>
            <color indexed="81"/>
            <rFont val="Tahoma"/>
            <family val="2"/>
          </rPr>
          <t>a</t>
        </r>
        <r>
          <rPr>
            <sz val="11"/>
            <color indexed="81"/>
            <rFont val="Tahoma"/>
            <family val="2"/>
          </rPr>
          <t xml:space="preserve"> (= </t>
        </r>
        <r>
          <rPr>
            <i/>
            <sz val="11"/>
            <color indexed="81"/>
            <rFont val="Tahoma"/>
            <family val="2"/>
          </rPr>
          <t>a</t>
        </r>
        <r>
          <rPr>
            <i/>
            <vertAlign val="superscript"/>
            <sz val="11"/>
            <color indexed="81"/>
            <rFont val="Tahoma"/>
            <family val="2"/>
          </rPr>
          <t>L</t>
        </r>
        <r>
          <rPr>
            <sz val="11"/>
            <color indexed="81"/>
            <rFont val="Tahoma"/>
            <family val="2"/>
          </rPr>
          <t xml:space="preserve"> = </t>
        </r>
        <r>
          <rPr>
            <i/>
            <sz val="11"/>
            <color indexed="81"/>
            <rFont val="Tahoma"/>
            <family val="2"/>
          </rPr>
          <t>a</t>
        </r>
        <r>
          <rPr>
            <i/>
            <vertAlign val="superscript"/>
            <sz val="11"/>
            <color indexed="81"/>
            <rFont val="Tahoma"/>
            <family val="2"/>
          </rPr>
          <t>nL</t>
        </r>
        <r>
          <rPr>
            <sz val="11"/>
            <color indexed="81"/>
            <rFont val="Tahoma"/>
            <family val="2"/>
          </rPr>
          <t xml:space="preserve">) vor, der die verstetige Leistung der leistungsgemessenen Einspeiser mit verstetigter Bewertung und die verstetigte Leistung der nicht leistungsgemessenen Einspeisern so umrechnet, dass sich der für diese Einspeiser ergebende Leistungswert zum Zeitpunkt </t>
        </r>
        <r>
          <rPr>
            <i/>
            <sz val="11"/>
            <color indexed="81"/>
            <rFont val="Tahoma"/>
            <family val="2"/>
          </rPr>
          <t>t</t>
        </r>
        <r>
          <rPr>
            <i/>
            <vertAlign val="subscript"/>
            <sz val="11"/>
            <color indexed="81"/>
            <rFont val="Tahoma"/>
            <family val="2"/>
          </rPr>
          <t>E</t>
        </r>
        <r>
          <rPr>
            <i/>
            <sz val="11"/>
            <color indexed="81"/>
            <rFont val="Tahoma"/>
            <family val="2"/>
          </rPr>
          <t xml:space="preserve"> </t>
        </r>
        <r>
          <rPr>
            <sz val="11"/>
            <color indexed="81"/>
            <rFont val="Tahoma"/>
            <family val="2"/>
          </rPr>
          <t>ergibt.
Verursachungsgerechter ist es, die Gruppe der leistungsgemessenen Einspeiser mit verstetigter Bewertung und die Gruppe der nicht leistungsgemessenen Einspeiser getrennt zu betrachten und für beide Gruppen jeweils einen Anteilsfaktor zu bestimmen. Im Ergebnis kommt es dann nur auf den Anteilsfaktor für leistungsgemessene Einspeiser mit verstetigter Bewertung an. Die verstetigte Leistung der nicht leistungsgemessenen Einspeiser multipliziert mit dem Anteilsfaktor für nicht leistungsgemessene Einspeiser wird nämlich nach § 18 Abs. 3 Satz 3 StromNEV nicht vergütet. 
Bei diesem Verfahren entfallen auf die Gruppe der leistungsgemessenen Einspeiser immer dieselben vermNE, unabhängig davon, wie viele leistungsgemessene Einspeiser eine Verstetigung wählen. Gibt es nur einen leistungsgemessenen Einspeiser mit verstetigter Bewertung, sind die rechnerische Leistung zum Zeitpunkt</t>
        </r>
        <r>
          <rPr>
            <i/>
            <sz val="11"/>
            <color indexed="81"/>
            <rFont val="Tahoma"/>
            <family val="2"/>
          </rPr>
          <t xml:space="preserve"> t</t>
        </r>
        <r>
          <rPr>
            <i/>
            <vertAlign val="subscript"/>
            <sz val="11"/>
            <color indexed="81"/>
            <rFont val="Tahoma"/>
            <family val="2"/>
          </rPr>
          <t>E</t>
        </r>
        <r>
          <rPr>
            <sz val="11"/>
            <color indexed="81"/>
            <rFont val="Tahoma"/>
            <family val="2"/>
          </rPr>
          <t xml:space="preserve"> und die gemessene Leistung zum Zeitpunkt </t>
        </r>
        <r>
          <rPr>
            <i/>
            <sz val="11"/>
            <color indexed="81"/>
            <rFont val="Tahoma"/>
            <family val="2"/>
          </rPr>
          <t>t</t>
        </r>
        <r>
          <rPr>
            <i/>
            <vertAlign val="subscript"/>
            <sz val="11"/>
            <color indexed="81"/>
            <rFont val="Tahoma"/>
            <family val="2"/>
          </rPr>
          <t>E</t>
        </r>
        <r>
          <rPr>
            <sz val="11"/>
            <color indexed="81"/>
            <rFont val="Tahoma"/>
            <family val="2"/>
          </rPr>
          <t xml:space="preserve"> identisch.
Dieses Tool unterstützt nur (noch) das verursachungsgerechte Verfahren mit 2 Anteilsfaktoren. </t>
        </r>
      </text>
    </comment>
    <comment ref="G28" authorId="0" shapeId="0" xr:uid="{00000000-0006-0000-0900-000011000000}">
      <text>
        <r>
          <rPr>
            <b/>
            <sz val="11"/>
            <color indexed="81"/>
            <rFont val="Segoe UI"/>
            <family val="2"/>
          </rPr>
          <t>GW:</t>
        </r>
        <r>
          <rPr>
            <sz val="11"/>
            <color indexed="81"/>
            <rFont val="Segoe UI"/>
            <family val="2"/>
          </rPr>
          <t xml:space="preserve">
§ 120 Abs. 4 EnWG: </t>
        </r>
        <r>
          <rPr>
            <vertAlign val="superscript"/>
            <sz val="11"/>
            <color indexed="81"/>
            <rFont val="Segoe UI"/>
            <family val="2"/>
          </rPr>
          <t>1</t>
        </r>
        <r>
          <rPr>
            <sz val="11"/>
            <color indexed="81"/>
            <rFont val="Segoe UI"/>
            <family val="2"/>
          </rPr>
          <t xml:space="preserve">Bei der Ermittlung der Entgelte für dezentrale Einspeisungen, die für den Zeitraum ab dem 1. Januar 2018 gezahlt werden, sind als Obergrenze diejenigen Netzentgelte der vorgelagerten Netz- oder Umspannebene zugrunde zu legen, die für diese Netz- oder Umspannebene am 31. Dezember 2016 anzuwenden waren. </t>
        </r>
        <r>
          <rPr>
            <vertAlign val="superscript"/>
            <sz val="11"/>
            <color indexed="81"/>
            <rFont val="Segoe UI"/>
            <family val="2"/>
          </rPr>
          <t>2</t>
        </r>
        <r>
          <rPr>
            <sz val="11"/>
            <color indexed="81"/>
            <rFont val="Segoe UI"/>
            <family val="2"/>
          </rPr>
          <t xml:space="preserve">Satz 1 ist auch für Erzeugungsanlagen anzuwenden, die nach dem 31. Dezember 2016 in Betrieb genommen worden sind oder werden.
§ 120 Abs. 5 Sätze 1 und 2 EnWG: </t>
        </r>
        <r>
          <rPr>
            <vertAlign val="superscript"/>
            <sz val="11"/>
            <color indexed="81"/>
            <rFont val="Segoe UI"/>
            <family val="2"/>
          </rPr>
          <t>1</t>
        </r>
        <r>
          <rPr>
            <sz val="11"/>
            <color indexed="81"/>
            <rFont val="Segoe UI"/>
            <family val="2"/>
          </rPr>
          <t xml:space="preserve">Bei der Ermittlung der Obergrenzen nach Absatz 4 sind ab dem 1. Januar 2018 von den Erlösobergrenzen der jeweiligen Übertragungsnetzbetreiber, so wie sie den jeweiligen Netzentgelten für das Kalenderjahr 2016 zugrunde lagen, die Kostenbestandteile nach § 17d Absatz 7 dieses Gesetzes und § 2 Absatz 5 des Energieleitungsausbaugesetzes in der bis zum Ablauf des 28. Dezember 2023 geltenden Fassung in Abzug zu bringen, die in die Netzentgelte eingeflossen sind. </t>
        </r>
        <r>
          <rPr>
            <vertAlign val="superscript"/>
            <sz val="11"/>
            <color indexed="81"/>
            <rFont val="Segoe UI"/>
            <family val="2"/>
          </rPr>
          <t>2</t>
        </r>
        <r>
          <rPr>
            <sz val="11"/>
            <color indexed="81"/>
            <rFont val="Segoe UI"/>
            <family val="2"/>
          </rPr>
          <t>Für die Zwecke der Berechnungsgrundlage zur Ermittlung der Entgelte für dezentrale Einspeisungen sind die Netzentgelte für das Kalenderjahr 2016 auf dieser Grundlage neu zu berechnen.</t>
        </r>
      </text>
    </comment>
    <comment ref="C29" authorId="0" shapeId="0" xr:uid="{00000000-0006-0000-0900-000012000000}">
      <text>
        <r>
          <rPr>
            <b/>
            <sz val="11"/>
            <color indexed="81"/>
            <rFont val="Tahoma"/>
            <family val="2"/>
          </rPr>
          <t>GW:</t>
        </r>
        <r>
          <rPr>
            <sz val="11"/>
            <color indexed="81"/>
            <rFont val="Tahoma"/>
            <family val="2"/>
          </rPr>
          <t xml:space="preserve">
0 ≤ </t>
        </r>
        <r>
          <rPr>
            <i/>
            <sz val="11"/>
            <color indexed="81"/>
            <rFont val="Tahoma"/>
            <family val="2"/>
          </rPr>
          <t>a</t>
        </r>
        <r>
          <rPr>
            <sz val="11"/>
            <color indexed="81"/>
            <rFont val="Tahoma"/>
            <family val="2"/>
          </rPr>
          <t xml:space="preserve">, der Anteilsfaktor kann insbesonder auch größer als 1 sein.
</t>
        </r>
      </text>
    </comment>
    <comment ref="T29" authorId="1" shapeId="0" xr:uid="{00000000-0006-0000-0900-000013000000}">
      <text>
        <r>
          <rPr>
            <b/>
            <sz val="11"/>
            <color indexed="81"/>
            <rFont val="Segoe UI"/>
            <family val="2"/>
          </rPr>
          <t xml:space="preserve">Auburger, Kilian (Reg </t>
        </r>
        <r>
          <rPr>
            <b/>
            <sz val="11"/>
            <color indexed="81"/>
            <rFont val="Tahoma"/>
            <family val="2"/>
          </rPr>
          <t>Oberpfalz):</t>
        </r>
        <r>
          <rPr>
            <sz val="11"/>
            <color indexed="81"/>
            <rFont val="Tahoma"/>
            <family val="2"/>
          </rPr>
          <t xml:space="preserve">
Siehe Kasten zur Netzreservekapazität (NRK) im Register "Allgemeines".</t>
        </r>
      </text>
    </comment>
    <comment ref="C30" authorId="0" shapeId="0" xr:uid="{00000000-0006-0000-0900-000014000000}">
      <text>
        <r>
          <rPr>
            <b/>
            <sz val="11"/>
            <color indexed="81"/>
            <rFont val="Tahoma"/>
            <family val="2"/>
          </rPr>
          <t>GW:</t>
        </r>
        <r>
          <rPr>
            <sz val="11"/>
            <color indexed="81"/>
            <rFont val="Tahoma"/>
            <family val="2"/>
          </rPr>
          <t xml:space="preserve">
0 ≤ </t>
        </r>
        <r>
          <rPr>
            <i/>
            <sz val="11"/>
            <color indexed="81"/>
            <rFont val="Tahoma"/>
            <family val="2"/>
          </rPr>
          <t>a</t>
        </r>
        <r>
          <rPr>
            <sz val="11"/>
            <color indexed="81"/>
            <rFont val="Tahoma"/>
            <family val="2"/>
          </rPr>
          <t xml:space="preserve">, der Anteilsfaktor kann insbesonder auch größer als 1 sein.
</t>
        </r>
      </text>
    </comment>
    <comment ref="A31" authorId="0" shapeId="0" xr:uid="{00000000-0006-0000-0900-000015000000}">
      <text>
        <r>
          <rPr>
            <b/>
            <sz val="11"/>
            <color indexed="81"/>
            <rFont val="Tahoma"/>
            <family val="2"/>
          </rPr>
          <t>GW:</t>
        </r>
        <r>
          <rPr>
            <sz val="11"/>
            <color indexed="81"/>
            <rFont val="Tahoma"/>
            <family val="2"/>
          </rPr>
          <t xml:space="preserve">
rechnet im ersten Bild den grünen Strich in den blauen Strich um</t>
        </r>
      </text>
    </comment>
    <comment ref="C31" authorId="0" shapeId="0" xr:uid="{00000000-0006-0000-0900-000016000000}">
      <text>
        <r>
          <rPr>
            <b/>
            <sz val="11"/>
            <color indexed="81"/>
            <rFont val="Tahoma"/>
            <family val="2"/>
          </rPr>
          <t>GW:</t>
        </r>
        <r>
          <rPr>
            <sz val="11"/>
            <color indexed="81"/>
            <rFont val="Tahoma"/>
            <family val="2"/>
          </rPr>
          <t xml:space="preserve">
0 ≤ </t>
        </r>
        <r>
          <rPr>
            <i/>
            <sz val="11"/>
            <color indexed="81"/>
            <rFont val="Tahoma"/>
            <family val="2"/>
          </rPr>
          <t>s</t>
        </r>
        <r>
          <rPr>
            <sz val="11"/>
            <color indexed="81"/>
            <rFont val="Tahoma"/>
            <family val="2"/>
          </rPr>
          <t xml:space="preserve"> ≤ 1
s = 0: keine tatsächliche Vermeidungsleistung in dieser Ebene des Netzbetreibers
s = 1: die Überspeisung zum Zeitpunkt </t>
        </r>
        <r>
          <rPr>
            <i/>
            <sz val="11"/>
            <color indexed="81"/>
            <rFont val="Tahoma"/>
            <family val="2"/>
          </rPr>
          <t>t</t>
        </r>
        <r>
          <rPr>
            <i/>
            <vertAlign val="subscript"/>
            <sz val="11"/>
            <color indexed="81"/>
            <rFont val="Tahoma"/>
            <family val="2"/>
          </rPr>
          <t>E</t>
        </r>
        <r>
          <rPr>
            <sz val="11"/>
            <color indexed="81"/>
            <rFont val="Tahoma"/>
            <family val="2"/>
          </rPr>
          <t xml:space="preserve"> ist 0 (</t>
        </r>
        <r>
          <rPr>
            <i/>
            <sz val="11"/>
            <color indexed="81"/>
            <rFont val="Tahoma"/>
            <family val="2"/>
          </rPr>
          <t>P</t>
        </r>
        <r>
          <rPr>
            <i/>
            <vertAlign val="subscript"/>
            <sz val="11"/>
            <color indexed="81"/>
            <rFont val="Tahoma"/>
            <family val="2"/>
          </rPr>
          <t>A,tE</t>
        </r>
        <r>
          <rPr>
            <sz val="11"/>
            <color indexed="81"/>
            <rFont val="Tahoma"/>
            <family val="2"/>
          </rPr>
          <t xml:space="preserve"> = 0) und die maximale Bezugslast und die Bezugslast zum Zeitpunkt </t>
        </r>
        <r>
          <rPr>
            <i/>
            <sz val="11"/>
            <color indexed="81"/>
            <rFont val="Tahoma"/>
            <family val="2"/>
          </rPr>
          <t>t</t>
        </r>
        <r>
          <rPr>
            <i/>
            <vertAlign val="subscript"/>
            <sz val="11"/>
            <color indexed="81"/>
            <rFont val="Tahoma"/>
            <family val="2"/>
          </rPr>
          <t>E</t>
        </r>
        <r>
          <rPr>
            <sz val="11"/>
            <color indexed="81"/>
            <rFont val="Tahoma"/>
            <family val="2"/>
          </rPr>
          <t xml:space="preserve"> sind identisch (</t>
        </r>
        <r>
          <rPr>
            <i/>
            <sz val="11"/>
            <color indexed="81"/>
            <rFont val="Tahoma"/>
            <family val="2"/>
          </rPr>
          <t>P</t>
        </r>
        <r>
          <rPr>
            <i/>
            <vertAlign val="subscript"/>
            <sz val="11"/>
            <color indexed="81"/>
            <rFont val="Tahoma"/>
            <family val="2"/>
          </rPr>
          <t>B,max</t>
        </r>
        <r>
          <rPr>
            <i/>
            <sz val="11"/>
            <color indexed="81"/>
            <rFont val="Tahoma"/>
            <family val="2"/>
          </rPr>
          <t xml:space="preserve"> = P</t>
        </r>
        <r>
          <rPr>
            <i/>
            <vertAlign val="subscript"/>
            <sz val="11"/>
            <color indexed="81"/>
            <rFont val="Tahoma"/>
            <family val="2"/>
          </rPr>
          <t>B,tE</t>
        </r>
        <r>
          <rPr>
            <i/>
            <sz val="11"/>
            <color indexed="81"/>
            <rFont val="Tahoma"/>
            <family val="2"/>
          </rPr>
          <t>)</t>
        </r>
      </text>
    </comment>
    <comment ref="A35" authorId="0" shapeId="0" xr:uid="{00000000-0006-0000-0900-000017000000}">
      <text>
        <r>
          <rPr>
            <b/>
            <sz val="11"/>
            <color indexed="81"/>
            <rFont val="Tahoma"/>
            <family val="2"/>
          </rPr>
          <t>GW:</t>
        </r>
        <r>
          <rPr>
            <sz val="11"/>
            <color indexed="81"/>
            <rFont val="Tahoma"/>
            <family val="2"/>
          </rPr>
          <t xml:space="preserve">
Leistungsgemessene Einspeiser müssen nur dann gesondert aufgeführt werden, wenn sie einen Beitrag zur Vermeidungsleistung liefern, d. h. wenn sie zum Zeitpunkt der Jahreshöchstlast der verlustbehafteten Spannungsebene tatsächlich einspeisen. 
EEG-Einspeiser mit zeitweiliger oder prozentualer sonstiger Direktvermarktung müssen zweimal aufgeführt werden (einmal als EEG-Anlage und einmal als sonstige Anlage), um einen Vergleich mit dem EEG-Testat zu ermöglichen.</t>
        </r>
        <r>
          <rPr>
            <sz val="9"/>
            <color indexed="81"/>
            <rFont val="Tahoma"/>
            <family val="2"/>
          </rPr>
          <t xml:space="preserve">
</t>
        </r>
      </text>
    </comment>
    <comment ref="B35" authorId="0" shapeId="0" xr:uid="{00000000-0006-0000-0900-000018000000}">
      <text>
        <r>
          <rPr>
            <b/>
            <sz val="11"/>
            <color indexed="81"/>
            <rFont val="Tahoma"/>
            <family val="2"/>
          </rPr>
          <t>GW:</t>
        </r>
        <r>
          <rPr>
            <sz val="11"/>
            <color indexed="81"/>
            <rFont val="Tahoma"/>
            <family val="2"/>
          </rPr>
          <t xml:space="preserve">
Das Eingabefeld erscheint rot, 
- falls keine Auswahl getroffen wurde, obwohl ein Arbeits- oder ein Leistungswert eingegeben wurde oder
- die getroffene Auswahl nicht zulässig ist (entsteht z. B. beim Kopieren)
Anlagen mit sonstiger Direktvermarktung sind zweimal zu erfassen. Die Arbeit ist nach tatsächlichem Anfall, die Leistung zeitanteilig einzugeben (Gleicher Ansicht: Anhang zum BDEW/VKU – Beiblatt zum Kalkulationsleitfaden
nach § 18 StromNEV (Direktvermarktung von Strom aus EEG-Anlagen vom 09.10.2009)).</t>
        </r>
      </text>
    </comment>
    <comment ref="C35" authorId="0" shapeId="0" xr:uid="{00000000-0006-0000-0900-000019000000}">
      <text>
        <r>
          <rPr>
            <b/>
            <sz val="11"/>
            <color indexed="81"/>
            <rFont val="Tahoma"/>
            <family val="2"/>
          </rPr>
          <t>GW:</t>
        </r>
        <r>
          <rPr>
            <sz val="11"/>
            <color indexed="81"/>
            <rFont val="Tahoma"/>
            <family val="2"/>
          </rPr>
          <t xml:space="preserve">
Bei Anlagen, die im Jahr 2017 oder früher in Betrieb genommen wurden, reicht es aus das Jahr 2017 einzugeben.
Das Auswahlfeld erscheint rot, wenn 
- eine Einspeiseart ausgewählt wurde und 
- weder ein Jahr der Inbetriebnahme noch ein passender Zeitraum der Inbetriebnahme eingegeben wurde.</t>
        </r>
      </text>
    </comment>
    <comment ref="D35" authorId="1" shapeId="0" xr:uid="{00000000-0006-0000-0900-00001A000000}">
      <text>
        <r>
          <rPr>
            <b/>
            <sz val="11"/>
            <color indexed="81"/>
            <rFont val="Tahoma"/>
            <family val="2"/>
          </rPr>
          <t>Auburger, Kilian (Reg Oberpfalz):</t>
        </r>
        <r>
          <rPr>
            <sz val="11"/>
            <color indexed="81"/>
            <rFont val="Tahoma"/>
            <family val="2"/>
          </rPr>
          <t xml:space="preserve">
Die fikitive Einspeisung des Selbstverbrauchs eines dezentralen Einspeisers ist nicht ansetzbar, da es bei der fiktiven Rücklieferung des Selbstverbrauchs eine Gegenposition in gleicher Höhe gibt. </t>
        </r>
      </text>
    </comment>
    <comment ref="F35" authorId="0" shapeId="0" xr:uid="{00000000-0006-0000-0900-00001B000000}">
      <text>
        <r>
          <rPr>
            <b/>
            <sz val="11"/>
            <color indexed="81"/>
            <rFont val="Tahoma"/>
            <family val="2"/>
          </rPr>
          <t>GW:</t>
        </r>
        <r>
          <rPr>
            <sz val="11"/>
            <color indexed="81"/>
            <rFont val="Tahoma"/>
            <family val="2"/>
          </rPr>
          <t xml:space="preserve">
Das Eingabefeld erscheint rot, 
- falls keine Auswahl getroffen wurde, obwohl ein Arbeits- oder ein Leistungswert eingegeben wurde oder
- falls der Einspeiser einen überwiegenden Anteil an der Vermeidungsleistung hat oder
- falls es sich um einen EEG-Einspeiser handelt und „j“ gewählt wurde.
Es ist meistens "n" zu wählen, da ein leistungsgemessener Einspeiser meistens auch seinen leistungsgemessenen Wert berücksichtigt haben möchte.
Der VDN-Leitfaden geht davon aus, dass sämtliche EEG-Anlagen verstetigt werden (Seite 5, letzter Satz). Wir halten dies weder für sachgerecht noch für verursachungsgerecht. Das Eingabefeld erscheint bei einer verstetigten EEG-Anlage deshalb rot. 
Würde ein EEG-Einspeiser eine Verstetigung wählen, würde dieser EEG-Einspeiser die vermNE der anderen leistungsgemessenen Einspeiser mit verstetigter Bewertung beeinflussen. Die Vergütung dieses EEG-Einspeisers würde sich aber nicht ändern, da sie sich nach dem EEG richtet. Insbesondere würde ein (volatiler) EEG-Einspeiser der zum Zeitpunkt der maximalen verlustbehafteten Entnahmelast nicht einspeist, die vermNE der anderen Einspeiser mit verstetigter Bewertung reduzieren. 
Im Tool können nur Einspeiser verstetigt werden, die keinen überwiegenden Anteil an der Vermeidungsleistung haben (vgl. § 18 Abs. 3 Satz 2 StromNEV).
Der </t>
        </r>
        <r>
          <rPr>
            <i/>
            <sz val="11"/>
            <color indexed="81"/>
            <rFont val="Tahoma"/>
            <family val="2"/>
          </rPr>
          <t>k</t>
        </r>
        <r>
          <rPr>
            <sz val="11"/>
            <color indexed="81"/>
            <rFont val="Tahoma"/>
            <family val="2"/>
          </rPr>
          <t xml:space="preserve">-te leistungsgemessene Einspeiser hat keinen überwiegenden Anteil an der Vermeidungsleistung, falls 2 * </t>
        </r>
        <r>
          <rPr>
            <i/>
            <sz val="11"/>
            <color indexed="81"/>
            <rFont val="Tahoma"/>
            <family val="2"/>
          </rPr>
          <t>P</t>
        </r>
        <r>
          <rPr>
            <i/>
            <vertAlign val="superscript"/>
            <sz val="11"/>
            <color indexed="81"/>
            <rFont val="Tahoma"/>
            <family val="2"/>
          </rPr>
          <t>k</t>
        </r>
        <r>
          <rPr>
            <i/>
            <vertAlign val="subscript"/>
            <sz val="11"/>
            <color indexed="81"/>
            <rFont val="Tahoma"/>
            <family val="2"/>
          </rPr>
          <t>i,tE</t>
        </r>
        <r>
          <rPr>
            <sz val="11"/>
            <color indexed="81"/>
            <rFont val="Tahoma"/>
            <family val="2"/>
          </rPr>
          <t xml:space="preserve"> &lt;= </t>
        </r>
        <r>
          <rPr>
            <i/>
            <sz val="11"/>
            <color indexed="81"/>
            <rFont val="Tahoma"/>
            <family val="2"/>
          </rPr>
          <t>P</t>
        </r>
        <r>
          <rPr>
            <i/>
            <vertAlign val="subscript"/>
            <sz val="11"/>
            <color indexed="81"/>
            <rFont val="Tahoma"/>
            <family val="2"/>
          </rPr>
          <t>verm,tE</t>
        </r>
        <r>
          <rPr>
            <sz val="11"/>
            <color indexed="81"/>
            <rFont val="Tahoma"/>
            <family val="2"/>
          </rPr>
          <t xml:space="preserve">. Nach dem Wortlaut der StromNEV wird auf die Vermeidungsleistung abgestellt, ohne klarzustellen, ob die Vermeidungsleistung zum Zeitpunkt </t>
        </r>
        <r>
          <rPr>
            <i/>
            <sz val="11"/>
            <color indexed="81"/>
            <rFont val="Tahoma"/>
            <family val="2"/>
          </rPr>
          <t>t</t>
        </r>
        <r>
          <rPr>
            <i/>
            <vertAlign val="subscript"/>
            <sz val="11"/>
            <color indexed="81"/>
            <rFont val="Tahoma"/>
            <family val="2"/>
          </rPr>
          <t>E</t>
        </r>
        <r>
          <rPr>
            <sz val="11"/>
            <color indexed="81"/>
            <rFont val="Tahoma"/>
            <family val="2"/>
          </rPr>
          <t xml:space="preserve"> oder die tatsächliche Vermeidungsleistung gemeint ist. Da ein Anteil anzuwenden ist und die Leistung des k-ten Einspeisers zum Zeitpunkt </t>
        </r>
        <r>
          <rPr>
            <i/>
            <sz val="11"/>
            <color indexed="81"/>
            <rFont val="Tahoma"/>
            <family val="2"/>
          </rPr>
          <t>t</t>
        </r>
        <r>
          <rPr>
            <i/>
            <vertAlign val="subscript"/>
            <sz val="11"/>
            <color indexed="81"/>
            <rFont val="Tahoma"/>
            <family val="2"/>
          </rPr>
          <t>E</t>
        </r>
        <r>
          <rPr>
            <i/>
            <sz val="11"/>
            <color indexed="81"/>
            <rFont val="Tahoma"/>
            <family val="2"/>
          </rPr>
          <t xml:space="preserve"> </t>
        </r>
        <r>
          <rPr>
            <sz val="11"/>
            <color indexed="81"/>
            <rFont val="Tahoma"/>
            <family val="2"/>
          </rPr>
          <t xml:space="preserve">herangezogen wird, muss die Vermeidungsleistung zum Zeitpunkt </t>
        </r>
        <r>
          <rPr>
            <i/>
            <sz val="11"/>
            <color indexed="81"/>
            <rFont val="Tahoma"/>
            <family val="2"/>
          </rPr>
          <t>t</t>
        </r>
        <r>
          <rPr>
            <i/>
            <vertAlign val="subscript"/>
            <sz val="11"/>
            <color indexed="81"/>
            <rFont val="Tahoma"/>
            <family val="2"/>
          </rPr>
          <t>E</t>
        </r>
        <r>
          <rPr>
            <sz val="11"/>
            <color indexed="81"/>
            <rFont val="Tahoma"/>
            <family val="2"/>
          </rPr>
          <t xml:space="preserve"> gemeint sein.
Das einmal gewählte Verfahren sollte über mehrere Jahre beibehalten werden.
In der Praxis finden sich z. B. beim Bayernwerk auch folgende Regelungen: 
- Keine Wahlmöglichkeit haben leistungsgemessene Einspeiser, bei denen die maximale Einspeiseleistung 2 MW (NE4, NE5, NE6 und NE7) bzw. 20 MW (NE2 und NE3) übersteigt.
- Einspeiser mit Wahlmöglichkeit müssen sich im Vorjahr bis spätestens 30.11. entscheiden, welches Verfahren sie gerne hätten.
</t>
        </r>
      </text>
    </comment>
    <comment ref="G35" authorId="0" shapeId="0" xr:uid="{00000000-0006-0000-0900-00001C000000}">
      <text>
        <r>
          <rPr>
            <b/>
            <sz val="11"/>
            <color indexed="81"/>
            <rFont val="Tahoma"/>
            <family val="2"/>
          </rPr>
          <t>GW:</t>
        </r>
        <r>
          <rPr>
            <sz val="11"/>
            <color indexed="81"/>
            <rFont val="Tahoma"/>
            <family val="2"/>
          </rPr>
          <t xml:space="preserve">
Diese Zahl wird auch bei einer Verstetigung benötigt, um zu überprüfen, ob der Einspeiser einen überwiegenden Anteil an der Vermeidungsleistung hat (vgl. § 18 Abs. 3 Satz 2).</t>
        </r>
      </text>
    </comment>
    <comment ref="H35" authorId="0" shapeId="0" xr:uid="{00000000-0006-0000-0900-00001D000000}">
      <text>
        <r>
          <rPr>
            <b/>
            <sz val="11"/>
            <color indexed="81"/>
            <rFont val="Arial"/>
            <family val="2"/>
          </rPr>
          <t>GW:</t>
        </r>
        <r>
          <rPr>
            <sz val="11"/>
            <color indexed="81"/>
            <rFont val="Arial"/>
            <family val="2"/>
          </rPr>
          <t xml:space="preserve">
(gemessene Leistung) oder
(verstetigte Leistung *  a</t>
        </r>
        <r>
          <rPr>
            <vertAlign val="superscript"/>
            <sz val="11"/>
            <color indexed="81"/>
            <rFont val="Arial"/>
            <family val="2"/>
          </rPr>
          <t>L</t>
        </r>
        <r>
          <rPr>
            <sz val="11"/>
            <color indexed="81"/>
            <rFont val="Arial"/>
            <family val="2"/>
          </rPr>
          <t xml:space="preserve"> bzw. a</t>
        </r>
        <r>
          <rPr>
            <vertAlign val="superscript"/>
            <sz val="11"/>
            <color indexed="81"/>
            <rFont val="Arial"/>
            <family val="2"/>
          </rPr>
          <t>nL</t>
        </r>
        <r>
          <rPr>
            <sz val="11"/>
            <color indexed="81"/>
            <rFont val="Arial"/>
            <family val="2"/>
          </rPr>
          <t>)</t>
        </r>
      </text>
    </comment>
    <comment ref="J35" authorId="1" shapeId="0" xr:uid="{00000000-0006-0000-0900-00001E000000}">
      <text>
        <r>
          <rPr>
            <b/>
            <sz val="11"/>
            <color indexed="81"/>
            <rFont val="Tahoma"/>
            <family val="2"/>
          </rPr>
          <t>Auburger, Kilian (Reg Oberpfalz):</t>
        </r>
        <r>
          <rPr>
            <sz val="11"/>
            <color indexed="81"/>
            <rFont val="Tahoma"/>
            <family val="2"/>
          </rPr>
          <t xml:space="preserve">
Dieses Feld erscheint rot, wenn die eingetragene Gewichtung
- bei EEG-, KWKG- und sonstigen Einspeisern sowie Einspeisern ohne vermNE nicht der Gewichtung nach § 18 Abs. 1 Satz 1 und 2 sowie § 18 Abs. 5 StromNEV entspricht oder 
- bei Rückspeisung aus der eigenen nachgelagerten Ebene von der berechneten Gewichtung in Zelle J21 abweicht.</t>
        </r>
        <r>
          <rPr>
            <sz val="9"/>
            <color indexed="81"/>
            <rFont val="Segoe UI"/>
            <family val="2"/>
          </rPr>
          <t xml:space="preserve">
</t>
        </r>
      </text>
    </comment>
    <comment ref="K35" authorId="1" shapeId="0" xr:uid="{00000000-0006-0000-0900-00001F000000}">
      <text>
        <r>
          <rPr>
            <b/>
            <sz val="11"/>
            <color indexed="81"/>
            <rFont val="Tahoma"/>
            <family val="2"/>
          </rPr>
          <t>Auburger, Kilian (Reg Oberpfalz):</t>
        </r>
        <r>
          <rPr>
            <sz val="11"/>
            <color indexed="81"/>
            <rFont val="Tahoma"/>
            <family val="2"/>
          </rPr>
          <t xml:space="preserve">
Dieses Feld erscheint rot, wenn die eingetragene Gewichtung
- bei EEG-, KWKG- und sonstigen Einspeisern sowie Einspeisern ohne vermNE nicht mit der Gewichtung der Arbeit desselben Einspeisers übereinstimmt oder 
- bei Rückspeisung aus der eigenen nachgelagerten Ebene von der berechneten Gewichtung in Zelle K21 abweicht.</t>
        </r>
        <r>
          <rPr>
            <sz val="9"/>
            <color indexed="81"/>
            <rFont val="Segoe UI"/>
            <family val="2"/>
          </rPr>
          <t xml:space="preserve">
</t>
        </r>
      </text>
    </comment>
    <comment ref="M35" authorId="0" shapeId="0" xr:uid="{00000000-0006-0000-0900-000020000000}">
      <text>
        <r>
          <rPr>
            <b/>
            <sz val="11"/>
            <color indexed="81"/>
            <rFont val="Tahoma"/>
            <family val="2"/>
          </rPr>
          <t>GW:</t>
        </r>
        <r>
          <rPr>
            <sz val="11"/>
            <color indexed="81"/>
            <rFont val="Tahoma"/>
            <family val="2"/>
          </rPr>
          <t xml:space="preserve">
R: Referenzpreisblatt
A: aktuelles Preisblatt
In diesem Tool wird - abweichend von der Anwendungshilfe "Fragen und Antworten zur Umsetzung des NEMoG", Ergänzung vom 20.06.2018, 2. Antwort - für jeden Einspeiser einzeln entschieden, welches Preisblatt zur Anwendung kommt. Unterschiedliche Preisblätter kommen in der Regel dann zur Anwendung, wenn in einem Preisblatt der Arbeitspreis und dem [einem] anderen Preisblatt der Leistungspreis größer ist.
Die Begründung der abweichenden Vorgehensweise liegt in der Transparenz für den Einspeiser: Ein Einspeiser kann die im Tool verwendete Vorgehensweise nachvollziehen. Die Berechnung einer Briefmarke kann man hingegen von einem Einspeiser nicht erwarten.
Die gesetzliche Regelung findet sich § 120 Abs. 4 Satz 1 EnWG.</t>
        </r>
      </text>
    </comment>
    <comment ref="U35" authorId="0" shapeId="0" xr:uid="{00000000-0006-0000-0900-000021000000}">
      <text>
        <r>
          <rPr>
            <b/>
            <sz val="11"/>
            <color indexed="81"/>
            <rFont val="Tahoma"/>
            <family val="2"/>
          </rPr>
          <t>GW:</t>
        </r>
        <r>
          <rPr>
            <sz val="11"/>
            <color indexed="81"/>
            <rFont val="Tahoma"/>
            <family val="2"/>
          </rPr>
          <t xml:space="preserve">
Dieser Schlüssel verteilt die erhaltene Rückspeisevergütung für Leistung auf die dezentralen Einspeiser.
Der Schlüssel 2 berücksichtigt den Zeitpunkt, der Grundlage war für die erhaltene Rückspeisevergütung für Leistung, und ist daher grundsätzlich dem Schlüssel 1 und dem Schlüssel 3 vorzuziehen. 
Für Schlüssel 3 spricht, dass ein Einspeiser einen Zeitpunkt besser planen kann. Für Schlüssel 1 und Schlüssel 3 spricht die einfachere Handhabung. In der Praxis kann man sich deshalb oft mit dem Schlüssel 1 oder mit dem Schlüssel 3 behelfen.
Für den Fall, dass die Jahreshöchstlast der Ebene und die Jahreshöchstlast der vorgelagerten Ebene zum selben Zeitpunkt auftritt, fallen Schlüssel 2 und Schlüssel 3 zusammen.
Schlüssel 1 entspricht einer Verstetigung sämtlicher Einspeiser bei der Rückspeisung.
</t>
        </r>
      </text>
    </comment>
    <comment ref="W35" authorId="1" shapeId="0" xr:uid="{00000000-0006-0000-0900-000022000000}">
      <text>
        <r>
          <rPr>
            <b/>
            <sz val="11"/>
            <color indexed="81"/>
            <rFont val="Segoe UI"/>
            <family val="2"/>
          </rPr>
          <t xml:space="preserve">Auburger, Kilian (Reg </t>
        </r>
        <r>
          <rPr>
            <b/>
            <sz val="11"/>
            <color indexed="81"/>
            <rFont val="Tahoma"/>
            <family val="2"/>
          </rPr>
          <t>Oberpfalz):</t>
        </r>
        <r>
          <rPr>
            <sz val="11"/>
            <color indexed="81"/>
            <rFont val="Tahoma"/>
            <family val="2"/>
          </rPr>
          <t xml:space="preserve">
Die weitergegebenen Kosten müssen in Summe mit den bei den vorgelagerten Netzkosten angesetzten Kosten übereinstimmen. Die Verteilung auf die Einspeiser ist jeweils im Einzelfall zu entscheiden.</t>
        </r>
      </text>
    </comment>
    <comment ref="A51" authorId="0" shapeId="0" xr:uid="{00000000-0006-0000-0900-000023000000}">
      <text>
        <r>
          <rPr>
            <b/>
            <sz val="12"/>
            <color indexed="81"/>
            <rFont val="Tahoma"/>
            <family val="2"/>
          </rPr>
          <t>GW:</t>
        </r>
        <r>
          <rPr>
            <sz val="12"/>
            <color indexed="81"/>
            <rFont val="Tahoma"/>
            <family val="2"/>
          </rPr>
          <t xml:space="preserve">
</t>
        </r>
        <r>
          <rPr>
            <sz val="11"/>
            <color indexed="81"/>
            <rFont val="Tahoma"/>
            <family val="2"/>
          </rPr>
          <t>EEG-Einspeiser mit zeitweiliger oder prozentualer sonstiger Direktvermarktung müssen zweimal berücksichtigt werden (einmal als EEG-Anlage und einmal als sonstige Anlage), um einen Vergleich mit dem EEG-Testat zu ermöglichen.</t>
        </r>
      </text>
    </comment>
    <comment ref="E69" authorId="0" shapeId="0" xr:uid="{00000000-0006-0000-0900-000024000000}">
      <text>
        <r>
          <rPr>
            <b/>
            <sz val="11"/>
            <color indexed="81"/>
            <rFont val="Tahoma"/>
            <family val="2"/>
          </rPr>
          <t>GW:</t>
        </r>
        <r>
          <rPr>
            <sz val="11"/>
            <color indexed="81"/>
            <rFont val="Tahoma"/>
            <family val="2"/>
          </rPr>
          <t xml:space="preserve">
Diese Zelle erschein rot, wenn die Rechnung oben zu einem anderen Wert führt.</t>
        </r>
      </text>
    </comment>
    <comment ref="O69" authorId="0" shapeId="0" xr:uid="{00000000-0006-0000-0900-000025000000}">
      <text>
        <r>
          <rPr>
            <b/>
            <sz val="11"/>
            <color indexed="81"/>
            <rFont val="Tahoma"/>
            <family val="2"/>
          </rPr>
          <t>GW:</t>
        </r>
        <r>
          <rPr>
            <sz val="11"/>
            <color indexed="81"/>
            <rFont val="Tahoma"/>
            <family val="2"/>
          </rPr>
          <t xml:space="preserve">
Diese Zelle erschein rot, wenn die Rechnung oben zu einem anderen Wert führt.</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GW</author>
  </authors>
  <commentList>
    <comment ref="A5" authorId="0" shapeId="0" xr:uid="{00000000-0006-0000-0A00-000001000000}">
      <text>
        <r>
          <rPr>
            <b/>
            <sz val="11"/>
            <color indexed="81"/>
            <rFont val="Segoe UI"/>
            <family val="2"/>
          </rPr>
          <t>GW:</t>
        </r>
        <r>
          <rPr>
            <sz val="11"/>
            <color indexed="81"/>
            <rFont val="Segoe UI"/>
            <family val="2"/>
          </rPr>
          <t xml:space="preserve">
Das Feld erscheint rot, wenn der 31.12. des Jahres mehr als 1 ein Jahr und 7 Monate zurückliegt.</t>
        </r>
      </text>
    </comment>
    <comment ref="H17" authorId="0" shapeId="0" xr:uid="{00000000-0006-0000-0A00-000002000000}">
      <text>
        <r>
          <rPr>
            <b/>
            <sz val="11"/>
            <color indexed="81"/>
            <rFont val="Tahoma"/>
            <family val="2"/>
          </rPr>
          <t>GW:</t>
        </r>
        <r>
          <rPr>
            <sz val="11"/>
            <color indexed="81"/>
            <rFont val="Tahoma"/>
            <family val="2"/>
          </rPr>
          <t xml:space="preserve">
Grundsätzlich gilt:
Sind im EEG-Testat höhere vermiedene Netzentgelte enthalten bzw. wurden mehr vermiedene Netzentgelte ausgezahlt als sich nach diesem Tool ergeben, können nur die vermiedenen Netzentgelte nach diesem Tool anerkannt werden.
Im umgekehrten Fall, d. h. wenn die vermiedenen Netzentgelte nach diesem Tool höher als im EEG-Testat sind, können die Netzentgelte nach diesem Tool nur anerkannt werden, wenn das EEG-Testat korrigiert wird bzw. die Differenz nachträglich noch an die Einspeiser ausgezahlt wird. 
Die Differenz zwischen Tool und Zahlungen wird im Tool als nicht kostenwirksamer Betrag ausgewiesen. Dies ist der Betrag, um den die vermNE lt. Tool korrigiert werden müssen, weil sie nicht ausgezahlt wurden.
Entsprechendes gilt für KWKG- und sonstige Einspeisungen.
Eine Ausnahme von diesem Grundsatz sind z. B. Rundungsdifferenzen gegenüber einem anderen Tool.
Streng genommen müsste das Minimum nicht wie im Tool hinterlegt auf die Einspeisergruppen, sondern auf jeden Einspeiser angewandt werden.</t>
        </r>
      </text>
    </comment>
    <comment ref="C38" authorId="0" shapeId="0" xr:uid="{00000000-0006-0000-0A00-000003000000}">
      <text>
        <r>
          <rPr>
            <b/>
            <sz val="11"/>
            <color indexed="81"/>
            <rFont val="Tahoma"/>
            <family val="2"/>
          </rPr>
          <t>GW:</t>
        </r>
        <r>
          <rPr>
            <sz val="11"/>
            <color indexed="81"/>
            <rFont val="Tahoma"/>
            <family val="2"/>
          </rPr>
          <t xml:space="preserve">
Bitte Zahl eingeben. Das Feld wird dann gelb.</t>
        </r>
      </text>
    </comment>
    <comment ref="C39" authorId="0" shapeId="0" xr:uid="{00000000-0006-0000-0A00-000004000000}">
      <text>
        <r>
          <rPr>
            <b/>
            <sz val="11"/>
            <color indexed="81"/>
            <rFont val="Tahoma"/>
            <family val="2"/>
          </rPr>
          <t>GW:</t>
        </r>
        <r>
          <rPr>
            <sz val="11"/>
            <color indexed="81"/>
            <rFont val="Tahoma"/>
            <family val="2"/>
          </rPr>
          <t xml:space="preserve">
Bitte Zahl eingeben. Das Feld wird dann gelb.</t>
        </r>
      </text>
    </comment>
    <comment ref="C40" authorId="0" shapeId="0" xr:uid="{00000000-0006-0000-0A00-000005000000}">
      <text>
        <r>
          <rPr>
            <b/>
            <sz val="11"/>
            <color indexed="81"/>
            <rFont val="Tahoma"/>
            <family val="2"/>
          </rPr>
          <t>GW:</t>
        </r>
        <r>
          <rPr>
            <sz val="11"/>
            <color indexed="81"/>
            <rFont val="Tahoma"/>
            <family val="2"/>
          </rPr>
          <t xml:space="preserve">
Bitte Zahl eingeben. Das Feld wird dann gelb.</t>
        </r>
      </text>
    </comment>
    <comment ref="C41" authorId="0" shapeId="0" xr:uid="{00000000-0006-0000-0A00-000006000000}">
      <text>
        <r>
          <rPr>
            <b/>
            <sz val="11"/>
            <color indexed="81"/>
            <rFont val="Tahoma"/>
            <family val="2"/>
          </rPr>
          <t>GW:</t>
        </r>
        <r>
          <rPr>
            <sz val="11"/>
            <color indexed="81"/>
            <rFont val="Tahoma"/>
            <family val="2"/>
          </rPr>
          <t xml:space="preserve">
Bitte Zahl eingeben. Das Feld wird dann gelb.</t>
        </r>
      </text>
    </comment>
    <comment ref="C43" authorId="0" shapeId="0" xr:uid="{00000000-0006-0000-0A00-000007000000}">
      <text>
        <r>
          <rPr>
            <b/>
            <sz val="11"/>
            <color indexed="81"/>
            <rFont val="Tahoma"/>
            <family val="2"/>
          </rPr>
          <t>GW:</t>
        </r>
        <r>
          <rPr>
            <sz val="11"/>
            <color indexed="81"/>
            <rFont val="Tahoma"/>
            <family val="2"/>
          </rPr>
          <t xml:space="preserve">
Bitte Zahl eingeben. Das Feld wird dann gelb.</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GW</author>
  </authors>
  <commentList>
    <comment ref="A8" authorId="0" shapeId="0" xr:uid="{00000000-0006-0000-0F00-000001000000}">
      <text>
        <r>
          <rPr>
            <b/>
            <sz val="11"/>
            <color indexed="81"/>
            <rFont val="Tahoma"/>
            <family val="2"/>
          </rPr>
          <t>GW:</t>
        </r>
        <r>
          <rPr>
            <sz val="11"/>
            <color indexed="81"/>
            <rFont val="Tahoma"/>
            <family val="2"/>
          </rPr>
          <t xml:space="preserve">
Es handelt sich um eine Auffangposition, falls keiner der oben genannten Fälle zutrifft. Beispiel: Ein Einspeiser wird an eine nachgelagerte Netz- oder Umspannebene angeschlossen (vgl. § 120 Abs. 2 Satz 1 EnWG).
Volatile EEG-Einspeiser sollten - müssen aber nicht - auch als solche erfasst werden, auch wenn sie ab 2020 keine vermNE mehr erhalten. Im Tool wird dies dadurch berücksichtigt, dass die Gewichtung in Spalte J und K dann 0 ist.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GW</author>
  </authors>
  <commentList>
    <comment ref="A3" authorId="0" shapeId="0" xr:uid="{00000000-0006-0000-0100-000001000000}">
      <text>
        <r>
          <rPr>
            <b/>
            <sz val="11"/>
            <color indexed="81"/>
            <rFont val="Tahoma"/>
            <family val="2"/>
          </rPr>
          <t>GW:</t>
        </r>
        <r>
          <rPr>
            <sz val="11"/>
            <color indexed="81"/>
            <rFont val="Tahoma"/>
            <family val="2"/>
          </rPr>
          <t xml:space="preserve">
Der </t>
        </r>
        <r>
          <rPr>
            <b/>
            <sz val="11"/>
            <color indexed="81"/>
            <rFont val="Tahoma"/>
            <family val="2"/>
          </rPr>
          <t>rechnerische Arbeitsfluss</t>
        </r>
        <r>
          <rPr>
            <sz val="11"/>
            <color indexed="81"/>
            <rFont val="Tahoma"/>
            <family val="2"/>
          </rPr>
          <t xml:space="preserve"> ergibt sich aus dem physikalischen Arbeitsfluss, indem der Transitstrom herausgerechnet wird.
Der physikalische Arbeitsfluss kann beim </t>
        </r>
        <r>
          <rPr>
            <b/>
            <u/>
            <sz val="11"/>
            <color indexed="81"/>
            <rFont val="Tahoma"/>
            <family val="2"/>
          </rPr>
          <t>Transitstrom</t>
        </r>
        <r>
          <rPr>
            <sz val="11"/>
            <color indexed="81"/>
            <rFont val="Tahoma"/>
            <family val="2"/>
          </rPr>
          <t xml:space="preserve"> zu unbefriedigenden Ergebnissen führen, insbesondere kann sich eine negative Vermeidungsarbeit ergeben. Transitstrom liegt vor, wenn es zum vorgelagerten Netzbetreiber mindestens zwei nicht gepoolte Übergabestellen gibt. Vernünftige Ergebnisse würden sich m.E. ergeben, wenn man eine saldierte Bezugszeitreihe, eine saldierte Überspeisezeitreihe und eine saldierte Verlustzeitreihe zu Grunde legen würde.
</t>
        </r>
        <r>
          <rPr>
            <i/>
            <sz val="11"/>
            <color indexed="81"/>
            <rFont val="Tahoma"/>
            <family val="2"/>
          </rPr>
          <t xml:space="preserve">"Das Prinzip der vermiedenen Netzentgelte geht davon aus, dass </t>
        </r>
        <r>
          <rPr>
            <i/>
            <u/>
            <sz val="11"/>
            <color indexed="81"/>
            <rFont val="Tahoma"/>
            <family val="2"/>
          </rPr>
          <t>durch die dezentrale Einspeisung</t>
        </r>
        <r>
          <rPr>
            <i/>
            <sz val="11"/>
            <color indexed="81"/>
            <rFont val="Tahoma"/>
            <family val="2"/>
          </rPr>
          <t xml:space="preserve"> Netznutzung gegenüber der vorgelagerten Netz- oder Umspannebene </t>
        </r>
        <r>
          <rPr>
            <i/>
            <u/>
            <sz val="11"/>
            <color indexed="81"/>
            <rFont val="Tahoma"/>
            <family val="2"/>
          </rPr>
          <t>vermieden</t>
        </r>
        <r>
          <rPr>
            <i/>
            <sz val="11"/>
            <color indexed="81"/>
            <rFont val="Tahoma"/>
            <family val="2"/>
          </rPr>
          <t xml:space="preserve"> wird und somit Kosten bei der Nutzung der vorgelagerten Netz- oder Umspannebene erspart werden."</t>
        </r>
        <r>
          <rPr>
            <sz val="11"/>
            <color indexed="81"/>
            <rFont val="Tahoma"/>
            <family val="2"/>
          </rPr>
          <t xml:space="preserve"> (VDN-Leitfaden, Abschnitt 1.1; Hervorhebung nicht im Orginal).
Um die saldierte Bezugszeitreihe (</t>
        </r>
        <r>
          <rPr>
            <i/>
            <sz val="11"/>
            <color indexed="81"/>
            <rFont val="Tahoma"/>
            <family val="2"/>
          </rPr>
          <t>B</t>
        </r>
        <r>
          <rPr>
            <i/>
            <vertAlign val="superscript"/>
            <sz val="11"/>
            <color indexed="81"/>
            <rFont val="Tahoma"/>
            <family val="2"/>
          </rPr>
          <t>sa</t>
        </r>
        <r>
          <rPr>
            <sz val="11"/>
            <color indexed="81"/>
            <rFont val="Tahoma"/>
            <family val="2"/>
          </rPr>
          <t>) zu erhalten, ist zunächst von der gemessenen physikalischen (Summen-)Bezugszeitreihe (</t>
        </r>
        <r>
          <rPr>
            <i/>
            <sz val="11"/>
            <color indexed="81"/>
            <rFont val="Tahoma"/>
            <family val="2"/>
          </rPr>
          <t>B</t>
        </r>
        <r>
          <rPr>
            <i/>
            <vertAlign val="superscript"/>
            <sz val="11"/>
            <color indexed="81"/>
            <rFont val="Tahoma"/>
            <family val="2"/>
          </rPr>
          <t>phy</t>
        </r>
        <r>
          <rPr>
            <sz val="11"/>
            <color indexed="81"/>
            <rFont val="Tahoma"/>
            <family val="2"/>
          </rPr>
          <t>), soweit möglich, die gemessene physikalische (Summen-)Überspeisezeitreihe (</t>
        </r>
        <r>
          <rPr>
            <i/>
            <sz val="11"/>
            <color indexed="81"/>
            <rFont val="Tahoma"/>
            <family val="2"/>
          </rPr>
          <t>A</t>
        </r>
        <r>
          <rPr>
            <i/>
            <vertAlign val="superscript"/>
            <sz val="11"/>
            <color indexed="81"/>
            <rFont val="Tahoma"/>
            <family val="2"/>
          </rPr>
          <t>phy</t>
        </r>
        <r>
          <rPr>
            <sz val="11"/>
            <color indexed="81"/>
            <rFont val="Tahoma"/>
            <family val="2"/>
          </rPr>
          <t xml:space="preserve">) einschließlich anteiliger Verluste abzuziehen.
Als Formel:
</t>
        </r>
        <r>
          <rPr>
            <i/>
            <sz val="11"/>
            <color indexed="81"/>
            <rFont val="Tahoma"/>
            <family val="2"/>
          </rPr>
          <t>B</t>
        </r>
        <r>
          <rPr>
            <i/>
            <vertAlign val="superscript"/>
            <sz val="11"/>
            <color indexed="81"/>
            <rFont val="Tahoma"/>
            <family val="2"/>
          </rPr>
          <t>sa</t>
        </r>
        <r>
          <rPr>
            <i/>
            <sz val="11"/>
            <color indexed="81"/>
            <rFont val="Tahoma"/>
            <family val="2"/>
          </rPr>
          <t>:= max(B</t>
        </r>
        <r>
          <rPr>
            <i/>
            <vertAlign val="superscript"/>
            <sz val="11"/>
            <color indexed="81"/>
            <rFont val="Tahoma"/>
            <family val="2"/>
          </rPr>
          <t>phy</t>
        </r>
        <r>
          <rPr>
            <i/>
            <sz val="11"/>
            <color indexed="81"/>
            <rFont val="Tahoma"/>
            <family val="2"/>
          </rPr>
          <t xml:space="preserve"> - A</t>
        </r>
        <r>
          <rPr>
            <i/>
            <vertAlign val="superscript"/>
            <sz val="11"/>
            <color indexed="81"/>
            <rFont val="Tahoma"/>
            <family val="2"/>
          </rPr>
          <t xml:space="preserve">phy </t>
        </r>
        <r>
          <rPr>
            <i/>
            <sz val="11"/>
            <color indexed="81"/>
            <rFont val="Tahoma"/>
            <family val="2"/>
          </rPr>
          <t xml:space="preserve">* (1+v);0)
</t>
        </r>
        <r>
          <rPr>
            <sz val="11"/>
            <color indexed="81"/>
            <rFont val="Tahoma"/>
            <family val="2"/>
          </rPr>
          <t>Die saldierte Überspeisezeitreihe (</t>
        </r>
        <r>
          <rPr>
            <i/>
            <sz val="11"/>
            <color indexed="81"/>
            <rFont val="Tahoma"/>
            <family val="2"/>
          </rPr>
          <t>A</t>
        </r>
        <r>
          <rPr>
            <i/>
            <vertAlign val="superscript"/>
            <sz val="11"/>
            <color indexed="81"/>
            <rFont val="Tahoma"/>
            <family val="2"/>
          </rPr>
          <t>sa</t>
        </r>
        <r>
          <rPr>
            <sz val="11"/>
            <color indexed="81"/>
            <rFont val="Tahoma"/>
            <family val="2"/>
          </rPr>
          <t xml:space="preserve">) ist nur das, was nicht auf einen Bezug zurückzuführen ist.
Als Formel:
</t>
        </r>
        <r>
          <rPr>
            <i/>
            <sz val="11"/>
            <color indexed="81"/>
            <rFont val="Tahoma"/>
            <family val="2"/>
          </rPr>
          <t>A</t>
        </r>
        <r>
          <rPr>
            <i/>
            <vertAlign val="superscript"/>
            <sz val="11"/>
            <color indexed="81"/>
            <rFont val="Tahoma"/>
            <family val="2"/>
          </rPr>
          <t>sa</t>
        </r>
        <r>
          <rPr>
            <i/>
            <sz val="11"/>
            <color indexed="81"/>
            <rFont val="Tahoma"/>
            <family val="2"/>
          </rPr>
          <t>:= max(A</t>
        </r>
        <r>
          <rPr>
            <i/>
            <vertAlign val="superscript"/>
            <sz val="11"/>
            <color indexed="81"/>
            <rFont val="Tahoma"/>
            <family val="2"/>
          </rPr>
          <t>phy</t>
        </r>
        <r>
          <rPr>
            <i/>
            <sz val="11"/>
            <color indexed="81"/>
            <rFont val="Tahoma"/>
            <family val="2"/>
          </rPr>
          <t xml:space="preserve"> - B</t>
        </r>
        <r>
          <rPr>
            <i/>
            <vertAlign val="superscript"/>
            <sz val="11"/>
            <color indexed="81"/>
            <rFont val="Tahoma"/>
            <family val="2"/>
          </rPr>
          <t xml:space="preserve">phy </t>
        </r>
        <r>
          <rPr>
            <i/>
            <sz val="11"/>
            <color indexed="81"/>
            <rFont val="Tahoma"/>
            <family val="2"/>
          </rPr>
          <t xml:space="preserve">/ (1+v);0)
</t>
        </r>
        <r>
          <rPr>
            <sz val="11"/>
            <color indexed="81"/>
            <rFont val="Tahoma"/>
            <family val="2"/>
          </rPr>
          <t>Abschließend ist die physikalische Verlustzeitreiche (</t>
        </r>
        <r>
          <rPr>
            <i/>
            <sz val="11"/>
            <color indexed="81"/>
            <rFont val="Tahoma"/>
            <family val="2"/>
          </rPr>
          <t>V</t>
        </r>
        <r>
          <rPr>
            <i/>
            <vertAlign val="superscript"/>
            <sz val="11"/>
            <color indexed="81"/>
            <rFont val="Tahoma"/>
            <family val="2"/>
          </rPr>
          <t>phy</t>
        </r>
        <r>
          <rPr>
            <sz val="11"/>
            <color indexed="81"/>
            <rFont val="Tahoma"/>
            <family val="2"/>
          </rPr>
          <t>) um die auf die auf den Transfer entfallenden Verluste zu korrigieren. So erhält man die saldierte Verlustzeitreiche (</t>
        </r>
        <r>
          <rPr>
            <i/>
            <sz val="11"/>
            <color indexed="81"/>
            <rFont val="Tahoma"/>
            <family val="2"/>
          </rPr>
          <t>V</t>
        </r>
        <r>
          <rPr>
            <i/>
            <vertAlign val="superscript"/>
            <sz val="11"/>
            <color indexed="81"/>
            <rFont val="Tahoma"/>
            <family val="2"/>
          </rPr>
          <t>sa</t>
        </r>
        <r>
          <rPr>
            <sz val="11"/>
            <color indexed="81"/>
            <rFont val="Tahoma"/>
            <family val="2"/>
          </rPr>
          <t xml:space="preserve">):
</t>
        </r>
        <r>
          <rPr>
            <i/>
            <sz val="11"/>
            <color indexed="81"/>
            <rFont val="Tahoma"/>
            <family val="2"/>
          </rPr>
          <t>V</t>
        </r>
        <r>
          <rPr>
            <i/>
            <vertAlign val="superscript"/>
            <sz val="11"/>
            <color indexed="81"/>
            <rFont val="Tahoma"/>
            <family val="2"/>
          </rPr>
          <t>sa</t>
        </r>
        <r>
          <rPr>
            <i/>
            <sz val="11"/>
            <color indexed="81"/>
            <rFont val="Tahoma"/>
            <family val="2"/>
          </rPr>
          <t>:= V</t>
        </r>
        <r>
          <rPr>
            <i/>
            <vertAlign val="superscript"/>
            <sz val="11"/>
            <color indexed="81"/>
            <rFont val="Tahoma"/>
            <family val="2"/>
          </rPr>
          <t>phy</t>
        </r>
        <r>
          <rPr>
            <i/>
            <sz val="11"/>
            <color indexed="81"/>
            <rFont val="Tahoma"/>
            <family val="2"/>
          </rPr>
          <t xml:space="preserve"> - (A</t>
        </r>
        <r>
          <rPr>
            <i/>
            <vertAlign val="superscript"/>
            <sz val="11"/>
            <color indexed="81"/>
            <rFont val="Tahoma"/>
            <family val="2"/>
          </rPr>
          <t>phy</t>
        </r>
        <r>
          <rPr>
            <i/>
            <sz val="11"/>
            <color indexed="81"/>
            <rFont val="Tahoma"/>
            <family val="2"/>
          </rPr>
          <t xml:space="preserve"> - A</t>
        </r>
        <r>
          <rPr>
            <i/>
            <vertAlign val="superscript"/>
            <sz val="11"/>
            <color indexed="81"/>
            <rFont val="Tahoma"/>
            <family val="2"/>
          </rPr>
          <t>sa</t>
        </r>
        <r>
          <rPr>
            <i/>
            <sz val="11"/>
            <color indexed="81"/>
            <rFont val="Tahoma"/>
            <family val="2"/>
          </rPr>
          <t xml:space="preserve">) * v.
</t>
        </r>
        <r>
          <rPr>
            <sz val="11"/>
            <color indexed="81"/>
            <rFont val="Tahoma"/>
            <family val="2"/>
          </rPr>
          <t xml:space="preserve">
Meines Wissens vertritt die BNetzA die Auffassung, dass Rückspeisungen von fremden Netzen immer, insbesondere auch bei Transitstrom, in voller Höhe zu vermiedenen Netzentgelten führen.</t>
        </r>
      </text>
    </comment>
    <comment ref="A5" authorId="0" shapeId="0" xr:uid="{00000000-0006-0000-0100-000002000000}">
      <text>
        <r>
          <rPr>
            <b/>
            <sz val="11"/>
            <color indexed="81"/>
            <rFont val="Tahoma"/>
            <family val="2"/>
          </rPr>
          <t>GW:</t>
        </r>
        <r>
          <rPr>
            <sz val="11"/>
            <color indexed="81"/>
            <rFont val="Tahoma"/>
            <family val="2"/>
          </rPr>
          <t xml:space="preserve">
Einige NB ermitteln den Vermeidungsfaktor, den Anteilsfaktor und den Skalierungsfaktor zum 01.04., da sie zu diesem Zeitpunkt auch nach der Nr. 22 des Leitfadens für die Internet-Veröffentlichungspflichten der Stromnetzbetreiber einen Lastgang veröffentlichen müssen. Werden für den EHB RegKto die Daten zu einem späteren Zeitpunkt ausgewertet, ergeben sich Abweichungen gegenüber dem hier angegebenen Arbeitsfluss. </t>
        </r>
      </text>
    </comment>
    <comment ref="C7" authorId="0" shapeId="0" xr:uid="{00000000-0006-0000-0100-000003000000}">
      <text>
        <r>
          <rPr>
            <b/>
            <sz val="11"/>
            <color indexed="81"/>
            <rFont val="Segoe UI"/>
            <family val="2"/>
          </rPr>
          <t>GW:</t>
        </r>
        <r>
          <rPr>
            <sz val="11"/>
            <color indexed="81"/>
            <rFont val="Segoe UI"/>
            <family val="2"/>
          </rPr>
          <t xml:space="preserve">
Der Eintrag erfolgt in der Ebene, die dem NB gehört.</t>
        </r>
      </text>
    </comment>
    <comment ref="G7" authorId="0" shapeId="0" xr:uid="{00000000-0006-0000-0100-000004000000}">
      <text>
        <r>
          <rPr>
            <b/>
            <sz val="11"/>
            <color indexed="81"/>
            <rFont val="Tahoma"/>
            <family val="2"/>
          </rPr>
          <t>GW:</t>
        </r>
        <r>
          <rPr>
            <sz val="11"/>
            <color indexed="81"/>
            <rFont val="Tahoma"/>
            <family val="2"/>
          </rPr>
          <t xml:space="preserve">
In MS und US sind normalerweise </t>
        </r>
        <r>
          <rPr>
            <i/>
            <sz val="11"/>
            <color indexed="81"/>
            <rFont val="Tahoma"/>
            <family val="2"/>
          </rPr>
          <t>R</t>
        </r>
        <r>
          <rPr>
            <i/>
            <vertAlign val="subscript"/>
            <sz val="11"/>
            <color indexed="81"/>
            <rFont val="Tahoma"/>
            <family val="2"/>
          </rPr>
          <t>eN</t>
        </r>
        <r>
          <rPr>
            <sz val="11"/>
            <color indexed="81"/>
            <rFont val="Tahoma"/>
            <family val="2"/>
          </rPr>
          <t xml:space="preserve"> und </t>
        </r>
        <r>
          <rPr>
            <i/>
            <sz val="11"/>
            <color indexed="81"/>
            <rFont val="Tahoma"/>
            <family val="2"/>
          </rPr>
          <t>eN</t>
        </r>
        <r>
          <rPr>
            <sz val="11"/>
            <color indexed="81"/>
            <rFont val="Tahoma"/>
            <family val="2"/>
          </rPr>
          <t xml:space="preserve"> (streng genommen auch </t>
        </r>
        <r>
          <rPr>
            <i/>
            <sz val="11"/>
            <color indexed="81"/>
            <rFont val="Tahoma"/>
            <family val="2"/>
          </rPr>
          <t>V</t>
        </r>
        <r>
          <rPr>
            <sz val="11"/>
            <color indexed="81"/>
            <rFont val="Tahoma"/>
            <family val="2"/>
          </rPr>
          <t xml:space="preserve">) nur in Summe bekannt (2 Unbekannte, aber nur eine Gleichung). In der Regel gibt es mehrere Übergabestellen, so dass sowohl </t>
        </r>
        <r>
          <rPr>
            <i/>
            <sz val="11"/>
            <color indexed="81"/>
            <rFont val="Tahoma"/>
            <family val="2"/>
          </rPr>
          <t>R</t>
        </r>
        <r>
          <rPr>
            <i/>
            <vertAlign val="subscript"/>
            <sz val="11"/>
            <color indexed="81"/>
            <rFont val="Tahoma"/>
            <family val="2"/>
          </rPr>
          <t>eN</t>
        </r>
        <r>
          <rPr>
            <sz val="11"/>
            <color indexed="81"/>
            <rFont val="Tahoma"/>
            <family val="2"/>
          </rPr>
          <t xml:space="preserve"> als </t>
        </r>
        <r>
          <rPr>
            <i/>
            <sz val="11"/>
            <color indexed="81"/>
            <rFont val="Tahoma"/>
            <family val="2"/>
          </rPr>
          <t>eN</t>
        </r>
        <r>
          <rPr>
            <sz val="11"/>
            <color indexed="81"/>
            <rFont val="Tahoma"/>
            <family val="2"/>
          </rPr>
          <t xml:space="preserve"> verschieden von 0 sein können.
Am besten löst man dieses Problem der Unterbestimmtheit auf Viertelstundenebene:
Dort kann meist angenommen werden, dass </t>
        </r>
        <r>
          <rPr>
            <i/>
            <sz val="11"/>
            <color indexed="81"/>
            <rFont val="Tahoma"/>
            <family val="2"/>
          </rPr>
          <t>R</t>
        </r>
        <r>
          <rPr>
            <i/>
            <vertAlign val="subscript"/>
            <sz val="11"/>
            <color indexed="81"/>
            <rFont val="Tahoma"/>
            <family val="2"/>
          </rPr>
          <t>eN</t>
        </r>
        <r>
          <rPr>
            <sz val="11"/>
            <color indexed="81"/>
            <rFont val="Tahoma"/>
            <family val="2"/>
          </rPr>
          <t xml:space="preserve"> möglichst klein ist und Überspeisungen durch dezentrale Einspeisungen und Rückspeisungen gedeckt sind.
Als Formeln:
</t>
        </r>
        <r>
          <rPr>
            <i/>
            <sz val="11"/>
            <color indexed="81"/>
            <rFont val="Tahoma"/>
            <family val="2"/>
          </rPr>
          <t>R</t>
        </r>
        <r>
          <rPr>
            <i/>
            <vertAlign val="subscript"/>
            <sz val="11"/>
            <color indexed="81"/>
            <rFont val="Tahoma"/>
            <family val="2"/>
          </rPr>
          <t>eN</t>
        </r>
        <r>
          <rPr>
            <sz val="11"/>
            <color indexed="81"/>
            <rFont val="Tahoma"/>
            <family val="2"/>
          </rPr>
          <t xml:space="preserve">:= </t>
        </r>
        <r>
          <rPr>
            <i/>
            <sz val="11"/>
            <color indexed="81"/>
            <rFont val="Tahoma"/>
            <family val="2"/>
          </rPr>
          <t xml:space="preserve">max(0; ER; MR) </t>
        </r>
        <r>
          <rPr>
            <sz val="11"/>
            <color indexed="81"/>
            <rFont val="Tahoma"/>
            <family val="2"/>
          </rPr>
          <t xml:space="preserve">und </t>
        </r>
        <r>
          <rPr>
            <i/>
            <sz val="11"/>
            <color indexed="81"/>
            <rFont val="Tahoma"/>
            <family val="2"/>
          </rPr>
          <t>eN</t>
        </r>
        <r>
          <rPr>
            <sz val="11"/>
            <color indexed="81"/>
            <rFont val="Tahoma"/>
            <family val="2"/>
          </rPr>
          <t xml:space="preserve">:= </t>
        </r>
        <r>
          <rPr>
            <i/>
            <sz val="11"/>
            <color indexed="81"/>
            <rFont val="Tahoma"/>
            <family val="2"/>
          </rPr>
          <t>(R</t>
        </r>
        <r>
          <rPr>
            <i/>
            <vertAlign val="subscript"/>
            <sz val="11"/>
            <color indexed="81"/>
            <rFont val="Tahoma"/>
            <family val="2"/>
          </rPr>
          <t>eN</t>
        </r>
        <r>
          <rPr>
            <i/>
            <sz val="11"/>
            <color indexed="81"/>
            <rFont val="Tahoma"/>
            <family val="2"/>
          </rPr>
          <t>+R</t>
        </r>
        <r>
          <rPr>
            <i/>
            <vertAlign val="subscript"/>
            <sz val="11"/>
            <color indexed="81"/>
            <rFont val="Tahoma"/>
            <family val="2"/>
          </rPr>
          <t>fN</t>
        </r>
        <r>
          <rPr>
            <i/>
            <sz val="11"/>
            <color indexed="81"/>
            <rFont val="Tahoma"/>
            <family val="2"/>
          </rPr>
          <t>+D+B</t>
        </r>
        <r>
          <rPr>
            <i/>
            <vertAlign val="subscript"/>
            <sz val="11"/>
            <color indexed="81"/>
            <rFont val="Tahoma"/>
            <family val="2"/>
          </rPr>
          <t>fN</t>
        </r>
        <r>
          <rPr>
            <i/>
            <sz val="11"/>
            <color indexed="81"/>
            <rFont val="Tahoma"/>
            <family val="2"/>
          </rPr>
          <t>+B</t>
        </r>
        <r>
          <rPr>
            <i/>
            <vertAlign val="subscript"/>
            <sz val="11"/>
            <color indexed="81"/>
            <rFont val="Tahoma"/>
            <family val="2"/>
          </rPr>
          <t>eN</t>
        </r>
        <r>
          <rPr>
            <i/>
            <sz val="11"/>
            <color indexed="81"/>
            <rFont val="Tahoma"/>
            <family val="2"/>
          </rPr>
          <t>)/(1+v)-A</t>
        </r>
        <r>
          <rPr>
            <i/>
            <vertAlign val="subscript"/>
            <sz val="11"/>
            <color indexed="81"/>
            <rFont val="Tahoma"/>
            <family val="2"/>
          </rPr>
          <t>eN</t>
        </r>
        <r>
          <rPr>
            <i/>
            <sz val="11"/>
            <color indexed="81"/>
            <rFont val="Tahoma"/>
            <family val="2"/>
          </rPr>
          <t>-A</t>
        </r>
        <r>
          <rPr>
            <i/>
            <vertAlign val="subscript"/>
            <sz val="11"/>
            <color indexed="81"/>
            <rFont val="Tahoma"/>
            <family val="2"/>
          </rPr>
          <t>fN</t>
        </r>
        <r>
          <rPr>
            <i/>
            <sz val="11"/>
            <color indexed="81"/>
            <rFont val="Tahoma"/>
            <family val="2"/>
          </rPr>
          <t xml:space="preserve">-L-fN
</t>
        </r>
        <r>
          <rPr>
            <sz val="11"/>
            <color indexed="81"/>
            <rFont val="Tahoma"/>
            <family val="2"/>
          </rPr>
          <t xml:space="preserve">mit
</t>
        </r>
        <r>
          <rPr>
            <i/>
            <sz val="11"/>
            <color indexed="81"/>
            <rFont val="Tahoma"/>
            <family val="2"/>
          </rPr>
          <t>ER</t>
        </r>
        <r>
          <rPr>
            <sz val="11"/>
            <color indexed="81"/>
            <rFont val="Tahoma"/>
            <family val="2"/>
          </rPr>
          <t xml:space="preserve"> := </t>
        </r>
        <r>
          <rPr>
            <i/>
            <sz val="11"/>
            <color indexed="81"/>
            <rFont val="Tahoma"/>
            <family val="2"/>
          </rPr>
          <t>(fN+L+A</t>
        </r>
        <r>
          <rPr>
            <i/>
            <vertAlign val="subscript"/>
            <sz val="11"/>
            <color indexed="81"/>
            <rFont val="Tahoma"/>
            <family val="2"/>
          </rPr>
          <t>fN</t>
        </r>
        <r>
          <rPr>
            <i/>
            <sz val="11"/>
            <color indexed="81"/>
            <rFont val="Tahoma"/>
            <family val="2"/>
          </rPr>
          <t>+A</t>
        </r>
        <r>
          <rPr>
            <i/>
            <vertAlign val="subscript"/>
            <sz val="11"/>
            <color indexed="81"/>
            <rFont val="Tahoma"/>
            <family val="2"/>
          </rPr>
          <t>eN</t>
        </r>
        <r>
          <rPr>
            <i/>
            <sz val="11"/>
            <color indexed="81"/>
            <rFont val="Tahoma"/>
            <family val="2"/>
          </rPr>
          <t>)*(1+v)-B</t>
        </r>
        <r>
          <rPr>
            <i/>
            <vertAlign val="subscript"/>
            <sz val="11"/>
            <color indexed="81"/>
            <rFont val="Tahoma"/>
            <family val="2"/>
          </rPr>
          <t>eN</t>
        </r>
        <r>
          <rPr>
            <i/>
            <sz val="11"/>
            <color indexed="81"/>
            <rFont val="Tahoma"/>
            <family val="2"/>
          </rPr>
          <t>-B</t>
        </r>
        <r>
          <rPr>
            <i/>
            <vertAlign val="subscript"/>
            <sz val="11"/>
            <color indexed="81"/>
            <rFont val="Tahoma"/>
            <family val="2"/>
          </rPr>
          <t>fN</t>
        </r>
        <r>
          <rPr>
            <i/>
            <sz val="11"/>
            <color indexed="81"/>
            <rFont val="Tahoma"/>
            <family val="2"/>
          </rPr>
          <t>-D-R</t>
        </r>
        <r>
          <rPr>
            <i/>
            <vertAlign val="subscript"/>
            <sz val="11"/>
            <color indexed="81"/>
            <rFont val="Tahoma"/>
            <family val="2"/>
          </rPr>
          <t>fN</t>
        </r>
        <r>
          <rPr>
            <sz val="11"/>
            <color indexed="81"/>
            <rFont val="Tahoma"/>
            <family val="2"/>
          </rPr>
          <t xml:space="preserve">  ("erforderliche Rückspeisung, </t>
        </r>
        <r>
          <rPr>
            <i/>
            <sz val="11"/>
            <color indexed="81"/>
            <rFont val="Tahoma"/>
            <family val="2"/>
          </rPr>
          <t>R</t>
        </r>
        <r>
          <rPr>
            <i/>
            <vertAlign val="subscript"/>
            <sz val="11"/>
            <color indexed="81"/>
            <rFont val="Tahoma"/>
            <family val="2"/>
          </rPr>
          <t>eN</t>
        </r>
        <r>
          <rPr>
            <sz val="11"/>
            <color indexed="81"/>
            <rFont val="Tahoma"/>
            <family val="2"/>
          </rPr>
          <t xml:space="preserve"> für </t>
        </r>
        <r>
          <rPr>
            <i/>
            <sz val="11"/>
            <color indexed="81"/>
            <rFont val="Tahoma"/>
            <family val="2"/>
          </rPr>
          <t>eN</t>
        </r>
        <r>
          <rPr>
            <sz val="11"/>
            <color indexed="81"/>
            <rFont val="Tahoma"/>
            <family val="2"/>
          </rPr>
          <t xml:space="preserve">=0")
</t>
        </r>
        <r>
          <rPr>
            <i/>
            <sz val="11"/>
            <color indexed="81"/>
            <rFont val="Tahoma"/>
            <family val="2"/>
          </rPr>
          <t>MR</t>
        </r>
        <r>
          <rPr>
            <sz val="11"/>
            <color indexed="81"/>
            <rFont val="Tahoma"/>
            <family val="2"/>
          </rPr>
          <t xml:space="preserve">:= </t>
        </r>
        <r>
          <rPr>
            <i/>
            <sz val="11"/>
            <color indexed="81"/>
            <rFont val="Tahoma"/>
            <family val="2"/>
          </rPr>
          <t>(A</t>
        </r>
        <r>
          <rPr>
            <i/>
            <vertAlign val="subscript"/>
            <sz val="11"/>
            <color indexed="81"/>
            <rFont val="Tahoma"/>
            <family val="2"/>
          </rPr>
          <t>eN</t>
        </r>
        <r>
          <rPr>
            <i/>
            <sz val="11"/>
            <color indexed="81"/>
            <rFont val="Tahoma"/>
            <family val="2"/>
          </rPr>
          <t>+A</t>
        </r>
        <r>
          <rPr>
            <i/>
            <vertAlign val="subscript"/>
            <sz val="11"/>
            <color indexed="81"/>
            <rFont val="Tahoma"/>
            <family val="2"/>
          </rPr>
          <t>fN</t>
        </r>
        <r>
          <rPr>
            <i/>
            <sz val="11"/>
            <color indexed="81"/>
            <rFont val="Tahoma"/>
            <family val="2"/>
          </rPr>
          <t>)*(1+v)-D-R</t>
        </r>
        <r>
          <rPr>
            <i/>
            <vertAlign val="subscript"/>
            <sz val="11"/>
            <color indexed="81"/>
            <rFont val="Tahoma"/>
            <family val="2"/>
          </rPr>
          <t>fN</t>
        </r>
        <r>
          <rPr>
            <sz val="11"/>
            <color indexed="81"/>
            <rFont val="Tahoma"/>
            <family val="2"/>
          </rPr>
          <t xml:space="preserve"> (Mindestrückspeisung)
Auf diese Weise sind </t>
        </r>
        <r>
          <rPr>
            <i/>
            <sz val="11"/>
            <color indexed="81"/>
            <rFont val="Tahoma"/>
            <family val="2"/>
          </rPr>
          <t>R</t>
        </r>
        <r>
          <rPr>
            <i/>
            <vertAlign val="subscript"/>
            <sz val="11"/>
            <color indexed="81"/>
            <rFont val="Tahoma"/>
            <family val="2"/>
          </rPr>
          <t>eN</t>
        </r>
        <r>
          <rPr>
            <sz val="11"/>
            <color indexed="81"/>
            <rFont val="Tahoma"/>
            <family val="2"/>
          </rPr>
          <t xml:space="preserve"> und </t>
        </r>
        <r>
          <rPr>
            <i/>
            <sz val="11"/>
            <color indexed="81"/>
            <rFont val="Tahoma"/>
            <family val="2"/>
          </rPr>
          <t>eN</t>
        </r>
        <r>
          <rPr>
            <sz val="11"/>
            <color indexed="81"/>
            <rFont val="Tahoma"/>
            <family val="2"/>
          </rPr>
          <t xml:space="preserve"> eindeutig festgelegt.
</t>
        </r>
      </text>
    </comment>
    <comment ref="K7" authorId="0" shapeId="0" xr:uid="{00000000-0006-0000-0100-000005000000}">
      <text>
        <r>
          <rPr>
            <b/>
            <sz val="11"/>
            <color indexed="81"/>
            <rFont val="Tahoma"/>
            <family val="2"/>
          </rPr>
          <t>GW:</t>
        </r>
        <r>
          <rPr>
            <sz val="11"/>
            <color indexed="81"/>
            <rFont val="Tahoma"/>
            <family val="2"/>
          </rPr>
          <t xml:space="preserve">
In MS und US sind normalerweise </t>
        </r>
        <r>
          <rPr>
            <i/>
            <sz val="11"/>
            <color indexed="81"/>
            <rFont val="Tahoma"/>
            <family val="2"/>
          </rPr>
          <t>R</t>
        </r>
        <r>
          <rPr>
            <i/>
            <vertAlign val="subscript"/>
            <sz val="11"/>
            <color indexed="81"/>
            <rFont val="Tahoma"/>
            <family val="2"/>
          </rPr>
          <t>eN</t>
        </r>
        <r>
          <rPr>
            <sz val="11"/>
            <color indexed="81"/>
            <rFont val="Tahoma"/>
            <family val="2"/>
          </rPr>
          <t xml:space="preserve"> und </t>
        </r>
        <r>
          <rPr>
            <i/>
            <sz val="11"/>
            <color indexed="81"/>
            <rFont val="Tahoma"/>
            <family val="2"/>
          </rPr>
          <t>eN</t>
        </r>
        <r>
          <rPr>
            <sz val="11"/>
            <color indexed="81"/>
            <rFont val="Tahoma"/>
            <family val="2"/>
          </rPr>
          <t xml:space="preserve"> (streng genommen auch </t>
        </r>
        <r>
          <rPr>
            <i/>
            <sz val="11"/>
            <color indexed="81"/>
            <rFont val="Tahoma"/>
            <family val="2"/>
          </rPr>
          <t>V</t>
        </r>
        <r>
          <rPr>
            <sz val="11"/>
            <color indexed="81"/>
            <rFont val="Tahoma"/>
            <family val="2"/>
          </rPr>
          <t xml:space="preserve">) nur in Summe bekannt (2 Unbekannte, aber nur eine Gleichung). In der Regel gibt es mehrere Übergabestellen, so dass sowohl </t>
        </r>
        <r>
          <rPr>
            <i/>
            <sz val="11"/>
            <color indexed="81"/>
            <rFont val="Tahoma"/>
            <family val="2"/>
          </rPr>
          <t>R</t>
        </r>
        <r>
          <rPr>
            <i/>
            <vertAlign val="subscript"/>
            <sz val="11"/>
            <color indexed="81"/>
            <rFont val="Tahoma"/>
            <family val="2"/>
          </rPr>
          <t>eN</t>
        </r>
        <r>
          <rPr>
            <sz val="11"/>
            <color indexed="81"/>
            <rFont val="Tahoma"/>
            <family val="2"/>
          </rPr>
          <t xml:space="preserve"> als </t>
        </r>
        <r>
          <rPr>
            <i/>
            <sz val="11"/>
            <color indexed="81"/>
            <rFont val="Tahoma"/>
            <family val="2"/>
          </rPr>
          <t>eN</t>
        </r>
        <r>
          <rPr>
            <sz val="11"/>
            <color indexed="81"/>
            <rFont val="Tahoma"/>
            <family val="2"/>
          </rPr>
          <t xml:space="preserve"> verschieden von 0 sein können.
Am besten löst man dieses Problem der Unterbestimmtheit auf Viertelstundenebene:
Dort kann meist angenommen werden, dass </t>
        </r>
        <r>
          <rPr>
            <i/>
            <sz val="11"/>
            <color indexed="81"/>
            <rFont val="Tahoma"/>
            <family val="2"/>
          </rPr>
          <t>R</t>
        </r>
        <r>
          <rPr>
            <i/>
            <vertAlign val="subscript"/>
            <sz val="11"/>
            <color indexed="81"/>
            <rFont val="Tahoma"/>
            <family val="2"/>
          </rPr>
          <t>eN</t>
        </r>
        <r>
          <rPr>
            <sz val="11"/>
            <color indexed="81"/>
            <rFont val="Tahoma"/>
            <family val="2"/>
          </rPr>
          <t xml:space="preserve"> möglichst klein ist und Überspeisungen durch dezentrale Einspeisungen und Rückspeisungen gedeckt sind.
Als Formeln:
</t>
        </r>
        <r>
          <rPr>
            <i/>
            <sz val="11"/>
            <color indexed="81"/>
            <rFont val="Tahoma"/>
            <family val="2"/>
          </rPr>
          <t>R</t>
        </r>
        <r>
          <rPr>
            <i/>
            <vertAlign val="subscript"/>
            <sz val="11"/>
            <color indexed="81"/>
            <rFont val="Tahoma"/>
            <family val="2"/>
          </rPr>
          <t>eN</t>
        </r>
        <r>
          <rPr>
            <sz val="11"/>
            <color indexed="81"/>
            <rFont val="Tahoma"/>
            <family val="2"/>
          </rPr>
          <t xml:space="preserve">:= </t>
        </r>
        <r>
          <rPr>
            <i/>
            <sz val="11"/>
            <color indexed="81"/>
            <rFont val="Tahoma"/>
            <family val="2"/>
          </rPr>
          <t xml:space="preserve">max(0; ER; MR) </t>
        </r>
        <r>
          <rPr>
            <sz val="11"/>
            <color indexed="81"/>
            <rFont val="Tahoma"/>
            <family val="2"/>
          </rPr>
          <t xml:space="preserve">und </t>
        </r>
        <r>
          <rPr>
            <i/>
            <sz val="11"/>
            <color indexed="81"/>
            <rFont val="Tahoma"/>
            <family val="2"/>
          </rPr>
          <t>eN</t>
        </r>
        <r>
          <rPr>
            <sz val="11"/>
            <color indexed="81"/>
            <rFont val="Tahoma"/>
            <family val="2"/>
          </rPr>
          <t xml:space="preserve">:= </t>
        </r>
        <r>
          <rPr>
            <i/>
            <sz val="11"/>
            <color indexed="81"/>
            <rFont val="Tahoma"/>
            <family val="2"/>
          </rPr>
          <t>(R</t>
        </r>
        <r>
          <rPr>
            <i/>
            <vertAlign val="subscript"/>
            <sz val="11"/>
            <color indexed="81"/>
            <rFont val="Tahoma"/>
            <family val="2"/>
          </rPr>
          <t>eN</t>
        </r>
        <r>
          <rPr>
            <i/>
            <sz val="11"/>
            <color indexed="81"/>
            <rFont val="Tahoma"/>
            <family val="2"/>
          </rPr>
          <t>+R</t>
        </r>
        <r>
          <rPr>
            <i/>
            <vertAlign val="subscript"/>
            <sz val="11"/>
            <color indexed="81"/>
            <rFont val="Tahoma"/>
            <family val="2"/>
          </rPr>
          <t>fN</t>
        </r>
        <r>
          <rPr>
            <i/>
            <sz val="11"/>
            <color indexed="81"/>
            <rFont val="Tahoma"/>
            <family val="2"/>
          </rPr>
          <t>+D+B</t>
        </r>
        <r>
          <rPr>
            <i/>
            <vertAlign val="subscript"/>
            <sz val="11"/>
            <color indexed="81"/>
            <rFont val="Tahoma"/>
            <family val="2"/>
          </rPr>
          <t>fN</t>
        </r>
        <r>
          <rPr>
            <i/>
            <sz val="11"/>
            <color indexed="81"/>
            <rFont val="Tahoma"/>
            <family val="2"/>
          </rPr>
          <t>+B</t>
        </r>
        <r>
          <rPr>
            <i/>
            <vertAlign val="subscript"/>
            <sz val="11"/>
            <color indexed="81"/>
            <rFont val="Tahoma"/>
            <family val="2"/>
          </rPr>
          <t>eN</t>
        </r>
        <r>
          <rPr>
            <i/>
            <sz val="11"/>
            <color indexed="81"/>
            <rFont val="Tahoma"/>
            <family val="2"/>
          </rPr>
          <t>)/(1+v)-A</t>
        </r>
        <r>
          <rPr>
            <i/>
            <vertAlign val="subscript"/>
            <sz val="11"/>
            <color indexed="81"/>
            <rFont val="Tahoma"/>
            <family val="2"/>
          </rPr>
          <t>eN</t>
        </r>
        <r>
          <rPr>
            <i/>
            <sz val="11"/>
            <color indexed="81"/>
            <rFont val="Tahoma"/>
            <family val="2"/>
          </rPr>
          <t>-A</t>
        </r>
        <r>
          <rPr>
            <i/>
            <vertAlign val="subscript"/>
            <sz val="11"/>
            <color indexed="81"/>
            <rFont val="Tahoma"/>
            <family val="2"/>
          </rPr>
          <t>fN</t>
        </r>
        <r>
          <rPr>
            <i/>
            <sz val="11"/>
            <color indexed="81"/>
            <rFont val="Tahoma"/>
            <family val="2"/>
          </rPr>
          <t xml:space="preserve">-L-fN
</t>
        </r>
        <r>
          <rPr>
            <sz val="11"/>
            <color indexed="81"/>
            <rFont val="Tahoma"/>
            <family val="2"/>
          </rPr>
          <t xml:space="preserve">mit
</t>
        </r>
        <r>
          <rPr>
            <i/>
            <sz val="11"/>
            <color indexed="81"/>
            <rFont val="Tahoma"/>
            <family val="2"/>
          </rPr>
          <t>ER</t>
        </r>
        <r>
          <rPr>
            <sz val="11"/>
            <color indexed="81"/>
            <rFont val="Tahoma"/>
            <family val="2"/>
          </rPr>
          <t xml:space="preserve"> := </t>
        </r>
        <r>
          <rPr>
            <i/>
            <sz val="11"/>
            <color indexed="81"/>
            <rFont val="Tahoma"/>
            <family val="2"/>
          </rPr>
          <t>(fN+L+A</t>
        </r>
        <r>
          <rPr>
            <i/>
            <vertAlign val="subscript"/>
            <sz val="11"/>
            <color indexed="81"/>
            <rFont val="Tahoma"/>
            <family val="2"/>
          </rPr>
          <t>fN</t>
        </r>
        <r>
          <rPr>
            <i/>
            <sz val="11"/>
            <color indexed="81"/>
            <rFont val="Tahoma"/>
            <family val="2"/>
          </rPr>
          <t>+A</t>
        </r>
        <r>
          <rPr>
            <i/>
            <vertAlign val="subscript"/>
            <sz val="11"/>
            <color indexed="81"/>
            <rFont val="Tahoma"/>
            <family val="2"/>
          </rPr>
          <t>eN</t>
        </r>
        <r>
          <rPr>
            <i/>
            <sz val="11"/>
            <color indexed="81"/>
            <rFont val="Tahoma"/>
            <family val="2"/>
          </rPr>
          <t>)*(1+v)-B</t>
        </r>
        <r>
          <rPr>
            <i/>
            <vertAlign val="subscript"/>
            <sz val="11"/>
            <color indexed="81"/>
            <rFont val="Tahoma"/>
            <family val="2"/>
          </rPr>
          <t>eN</t>
        </r>
        <r>
          <rPr>
            <i/>
            <sz val="11"/>
            <color indexed="81"/>
            <rFont val="Tahoma"/>
            <family val="2"/>
          </rPr>
          <t>-B</t>
        </r>
        <r>
          <rPr>
            <i/>
            <vertAlign val="subscript"/>
            <sz val="11"/>
            <color indexed="81"/>
            <rFont val="Tahoma"/>
            <family val="2"/>
          </rPr>
          <t>fN</t>
        </r>
        <r>
          <rPr>
            <i/>
            <sz val="11"/>
            <color indexed="81"/>
            <rFont val="Tahoma"/>
            <family val="2"/>
          </rPr>
          <t>-D-R</t>
        </r>
        <r>
          <rPr>
            <i/>
            <vertAlign val="subscript"/>
            <sz val="11"/>
            <color indexed="81"/>
            <rFont val="Tahoma"/>
            <family val="2"/>
          </rPr>
          <t>fN</t>
        </r>
        <r>
          <rPr>
            <sz val="11"/>
            <color indexed="81"/>
            <rFont val="Tahoma"/>
            <family val="2"/>
          </rPr>
          <t xml:space="preserve">  ("erforderliche Rückspeisung, </t>
        </r>
        <r>
          <rPr>
            <i/>
            <sz val="11"/>
            <color indexed="81"/>
            <rFont val="Tahoma"/>
            <family val="2"/>
          </rPr>
          <t>R</t>
        </r>
        <r>
          <rPr>
            <i/>
            <vertAlign val="subscript"/>
            <sz val="11"/>
            <color indexed="81"/>
            <rFont val="Tahoma"/>
            <family val="2"/>
          </rPr>
          <t>eN</t>
        </r>
        <r>
          <rPr>
            <sz val="11"/>
            <color indexed="81"/>
            <rFont val="Tahoma"/>
            <family val="2"/>
          </rPr>
          <t xml:space="preserve"> für </t>
        </r>
        <r>
          <rPr>
            <i/>
            <sz val="11"/>
            <color indexed="81"/>
            <rFont val="Tahoma"/>
            <family val="2"/>
          </rPr>
          <t>eN</t>
        </r>
        <r>
          <rPr>
            <sz val="11"/>
            <color indexed="81"/>
            <rFont val="Tahoma"/>
            <family val="2"/>
          </rPr>
          <t xml:space="preserve">=0")
</t>
        </r>
        <r>
          <rPr>
            <i/>
            <sz val="11"/>
            <color indexed="81"/>
            <rFont val="Tahoma"/>
            <family val="2"/>
          </rPr>
          <t>MR</t>
        </r>
        <r>
          <rPr>
            <sz val="11"/>
            <color indexed="81"/>
            <rFont val="Tahoma"/>
            <family val="2"/>
          </rPr>
          <t xml:space="preserve">:= </t>
        </r>
        <r>
          <rPr>
            <i/>
            <sz val="11"/>
            <color indexed="81"/>
            <rFont val="Tahoma"/>
            <family val="2"/>
          </rPr>
          <t>(A</t>
        </r>
        <r>
          <rPr>
            <i/>
            <vertAlign val="subscript"/>
            <sz val="11"/>
            <color indexed="81"/>
            <rFont val="Tahoma"/>
            <family val="2"/>
          </rPr>
          <t>eN</t>
        </r>
        <r>
          <rPr>
            <i/>
            <sz val="11"/>
            <color indexed="81"/>
            <rFont val="Tahoma"/>
            <family val="2"/>
          </rPr>
          <t>+A</t>
        </r>
        <r>
          <rPr>
            <i/>
            <vertAlign val="subscript"/>
            <sz val="11"/>
            <color indexed="81"/>
            <rFont val="Tahoma"/>
            <family val="2"/>
          </rPr>
          <t>fN</t>
        </r>
        <r>
          <rPr>
            <i/>
            <sz val="11"/>
            <color indexed="81"/>
            <rFont val="Tahoma"/>
            <family val="2"/>
          </rPr>
          <t>)*(1+v)-D-R</t>
        </r>
        <r>
          <rPr>
            <i/>
            <vertAlign val="subscript"/>
            <sz val="11"/>
            <color indexed="81"/>
            <rFont val="Tahoma"/>
            <family val="2"/>
          </rPr>
          <t>fN</t>
        </r>
        <r>
          <rPr>
            <sz val="11"/>
            <color indexed="81"/>
            <rFont val="Tahoma"/>
            <family val="2"/>
          </rPr>
          <t xml:space="preserve"> (Mindestrückspeisung)
Auf diese Weise sind </t>
        </r>
        <r>
          <rPr>
            <i/>
            <sz val="11"/>
            <color indexed="81"/>
            <rFont val="Tahoma"/>
            <family val="2"/>
          </rPr>
          <t>R</t>
        </r>
        <r>
          <rPr>
            <i/>
            <vertAlign val="subscript"/>
            <sz val="11"/>
            <color indexed="81"/>
            <rFont val="Tahoma"/>
            <family val="2"/>
          </rPr>
          <t>eN</t>
        </r>
        <r>
          <rPr>
            <sz val="11"/>
            <color indexed="81"/>
            <rFont val="Tahoma"/>
            <family val="2"/>
          </rPr>
          <t xml:space="preserve"> und </t>
        </r>
        <r>
          <rPr>
            <i/>
            <sz val="11"/>
            <color indexed="81"/>
            <rFont val="Tahoma"/>
            <family val="2"/>
          </rPr>
          <t>eN</t>
        </r>
        <r>
          <rPr>
            <sz val="11"/>
            <color indexed="81"/>
            <rFont val="Tahoma"/>
            <family val="2"/>
          </rPr>
          <t xml:space="preserve"> eindeutig festgelegt.
</t>
        </r>
      </text>
    </comment>
    <comment ref="P7" authorId="0" shapeId="0" xr:uid="{00000000-0006-0000-0100-000006000000}">
      <text>
        <r>
          <rPr>
            <b/>
            <sz val="11"/>
            <color indexed="81"/>
            <rFont val="Tahoma"/>
            <family val="2"/>
          </rPr>
          <t>GW:</t>
        </r>
        <r>
          <rPr>
            <sz val="11"/>
            <color indexed="81"/>
            <rFont val="Tahoma"/>
            <family val="2"/>
          </rPr>
          <t xml:space="preserve">
Diese Verlustquote weicht von den nach 10 Abs. 2 StromNEV zu veröffentlichenden Durchschnittsverlusten ab, da dort die Verluste auf die Einspeisungen zu beziehen sind (siehe Leitfaden der BNetzA für die Internet-Veröffentlichungspflichten der Stromnetzbetreiber, dort lfd. Nr. 29).</t>
        </r>
      </text>
    </comment>
    <comment ref="C15" authorId="0" shapeId="0" xr:uid="{00000000-0006-0000-0100-000007000000}">
      <text>
        <r>
          <rPr>
            <b/>
            <sz val="11"/>
            <color indexed="81"/>
            <rFont val="Tahoma"/>
            <family val="2"/>
          </rPr>
          <t>GW:</t>
        </r>
        <r>
          <rPr>
            <sz val="11"/>
            <color indexed="81"/>
            <rFont val="Tahoma"/>
            <family val="2"/>
          </rPr>
          <t xml:space="preserve">
Diese Zahl stimmt idealerweise überein mit dem EHB RegKto, Register E2.</t>
        </r>
      </text>
    </comment>
    <comment ref="E15" authorId="0" shapeId="0" xr:uid="{00000000-0006-0000-0100-000008000000}">
      <text>
        <r>
          <rPr>
            <b/>
            <sz val="11"/>
            <color indexed="81"/>
            <rFont val="Tahoma"/>
            <family val="2"/>
          </rPr>
          <t>GW:</t>
        </r>
        <r>
          <rPr>
            <sz val="11"/>
            <color indexed="81"/>
            <rFont val="Tahoma"/>
            <family val="2"/>
          </rPr>
          <t xml:space="preserve">
Diese Zahl stimmt idealerweise überein mit dem EHB RegKto, Register E3.</t>
        </r>
      </text>
    </comment>
    <comment ref="I15" authorId="0" shapeId="0" xr:uid="{00000000-0006-0000-0100-000009000000}">
      <text>
        <r>
          <rPr>
            <b/>
            <sz val="11"/>
            <color indexed="81"/>
            <rFont val="Tahoma"/>
            <family val="2"/>
          </rPr>
          <t>GW:</t>
        </r>
        <r>
          <rPr>
            <sz val="11"/>
            <color indexed="81"/>
            <rFont val="Tahoma"/>
            <family val="2"/>
          </rPr>
          <t xml:space="preserve">
Die Abgabe an Letztverbraucher und die Abgabe an fremde Netze stimmen idealerweise in Summe überein mit dem EHB RegKto, Register E1.</t>
        </r>
      </text>
    </comment>
    <comment ref="J15" authorId="0" shapeId="0" xr:uid="{00000000-0006-0000-0100-00000A000000}">
      <text>
        <r>
          <rPr>
            <b/>
            <sz val="11"/>
            <color indexed="81"/>
            <rFont val="Tahoma"/>
            <family val="2"/>
          </rPr>
          <t>GW:</t>
        </r>
        <r>
          <rPr>
            <sz val="11"/>
            <color indexed="81"/>
            <rFont val="Tahoma"/>
            <family val="2"/>
          </rPr>
          <t xml:space="preserve">
Die Abgabe an Letztverbraucher und die Abgabe an fremde Netze stimmen idealerweise in Summe überein mit dem EHB RegKto, Register E1.</t>
        </r>
      </text>
    </comment>
    <comment ref="P15" authorId="0" shapeId="0" xr:uid="{00000000-0006-0000-0100-00000B000000}">
      <text>
        <r>
          <rPr>
            <b/>
            <sz val="12"/>
            <color indexed="81"/>
            <rFont val="Segoe UI"/>
            <family val="2"/>
          </rPr>
          <t>GW:</t>
        </r>
        <r>
          <rPr>
            <sz val="12"/>
            <color indexed="81"/>
            <rFont val="Segoe UI"/>
            <family val="2"/>
          </rPr>
          <t xml:space="preserve">
Die Verlustquote für das Gesamtnetze kann alle Verlustquoten der Netzebenen übersteigen, da die Abgabe an die eigene nachgelagerte Ebene nur bei der Verlustquote einer Netzebene berücksichtigt wird, nicht aber beim Gesamtnetz.</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GW</author>
  </authors>
  <commentList>
    <comment ref="A9" authorId="0" shapeId="0" xr:uid="{00000000-0006-0000-0200-000001000000}">
      <text>
        <r>
          <rPr>
            <b/>
            <sz val="11"/>
            <color indexed="81"/>
            <rFont val="Tahoma"/>
            <family val="2"/>
          </rPr>
          <t>GW:</t>
        </r>
        <r>
          <rPr>
            <sz val="11"/>
            <color indexed="81"/>
            <rFont val="Tahoma"/>
            <family val="2"/>
          </rPr>
          <t xml:space="preserve">
= Zeitpunkt der Jahreshöchstlast der NE5</t>
        </r>
      </text>
    </comment>
    <comment ref="A11" authorId="0" shapeId="0" xr:uid="{00000000-0006-0000-0200-000002000000}">
      <text>
        <r>
          <rPr>
            <b/>
            <sz val="11"/>
            <color indexed="81"/>
            <rFont val="Tahoma"/>
            <family val="2"/>
          </rPr>
          <t>GW:</t>
        </r>
        <r>
          <rPr>
            <sz val="11"/>
            <color indexed="81"/>
            <rFont val="Tahoma"/>
            <family val="2"/>
          </rPr>
          <t xml:space="preserve">
Auch bei nicht gepoolten Übergabestellen ist ein Summenlastgang zu bilden.
Es ist nur der (Summen-)Lastgang von echten Einspeisungen zu betrachten. Hier gehen weder Ausspeisungen aus NE5 in die eigene NE4 noch Auspeisungen aus NE5 in fremde Netze ein.</t>
        </r>
      </text>
    </comment>
    <comment ref="A18" authorId="0" shapeId="0" xr:uid="{00000000-0006-0000-0200-000003000000}">
      <text>
        <r>
          <rPr>
            <b/>
            <sz val="11"/>
            <color indexed="81"/>
            <rFont val="Tahoma"/>
            <family val="2"/>
          </rPr>
          <t>GW:</t>
        </r>
        <r>
          <rPr>
            <sz val="11"/>
            <color indexed="81"/>
            <rFont val="Tahoma"/>
            <family val="2"/>
          </rPr>
          <t xml:space="preserve">
Der naive Ansatz
Lastgänge der Letztverbraucher
+ Lastgänge Abgabe an die eigene nachgelagerte Ebene
+ Lastgänge Abgabe an fremde Netze
+ Lastgang Verluste
= Summenlastgang der Entnahmen inkl. Verluste
funktioniert nur, falls die Lastgänge Abgabe an die eigene nachgelagerte Ebene bekannt sind.
Überspeisungen (in die eigene vorgelagerte Ebene und in fremde Netze) zählen also bei der Ermittlung des Summenlastgangs der Entnahmen inkl. Verluste nicht zu den Entnahmen.</t>
        </r>
      </text>
    </comment>
    <comment ref="C20" authorId="0" shapeId="0" xr:uid="{00000000-0006-0000-0200-000004000000}">
      <text>
        <r>
          <rPr>
            <b/>
            <sz val="11"/>
            <color indexed="81"/>
            <rFont val="Tahoma"/>
            <family val="2"/>
          </rPr>
          <t>GW:</t>
        </r>
        <r>
          <rPr>
            <sz val="11"/>
            <color indexed="81"/>
            <rFont val="Tahoma"/>
            <family val="2"/>
          </rPr>
          <t xml:space="preserve">
</t>
        </r>
        <r>
          <rPr>
            <u/>
            <sz val="11"/>
            <color indexed="81"/>
            <rFont val="Tahoma"/>
            <family val="2"/>
          </rPr>
          <t>Briefmarke</t>
        </r>
        <r>
          <rPr>
            <sz val="11"/>
            <color indexed="81"/>
            <rFont val="Tahoma"/>
            <family val="2"/>
          </rPr>
          <t xml:space="preserve">
Unter dem Blickwinkel der Kostenverursachung wäre es m. E. sachgerecht, auch Ausspeisung in die eigene vorgelagerte Ebene und Ausspeisungen in fremde Netze als Entnahme in der Ebene zu behandeln. In die Briefmarke wäre dann diese Ausspeisung miteinzubeziehen. Dies würde dann zu einer Kostenwälzung von unten nach oben führen.
Derzeit ist eine solche Kostenwälzung jedoch nicht vorgesehen (vgl. 14 Abs. 1 StromNEV und § 2 Nr. 6 StromNEV i.V.m. § 17 Abs. 2 StromNEV). Die Netzkosten tragen ausschließlich die Kunden in der Ebene und die Kunden in den nachgelagerten Ebenen.
</t>
        </r>
        <r>
          <rPr>
            <u/>
            <sz val="11"/>
            <color indexed="81"/>
            <rFont val="Tahoma"/>
            <family val="2"/>
          </rPr>
          <t xml:space="preserve">Maximalwertkurve bei individuelle Netzentgelte
</t>
        </r>
        <r>
          <rPr>
            <sz val="11"/>
            <color indexed="81"/>
            <rFont val="Tahoma"/>
            <family val="2"/>
          </rPr>
          <t xml:space="preserve">Mit individuellen Netzentgelten sollen die Kunden belohnt werden,  die das Netz dann wenig benötigen, wenn eine große Nachfrage anderer Kunden ist. Deshalb sind auch hier keine Überspeisungen bei der Maximalwertkurve zu berücksichtigen. </t>
        </r>
        <r>
          <rPr>
            <u/>
            <sz val="11"/>
            <color indexed="81"/>
            <rFont val="Tahoma"/>
            <family val="2"/>
          </rPr>
          <t xml:space="preserve">
</t>
        </r>
        <r>
          <rPr>
            <sz val="11"/>
            <color indexed="81"/>
            <rFont val="Tahoma"/>
            <family val="2"/>
          </rPr>
          <t xml:space="preserve">Nach dem Beschluss BK4-13-739 beruht die Maximalwertkurve des Tages auf den IST-Daten des Referenzzeitraums. M. E. können/sollen/müssen diese IST-Daten um Sondereffekte im Referenzzeitraum 
bereinigt werden.
</t>
        </r>
        <r>
          <rPr>
            <u/>
            <sz val="11"/>
            <color indexed="81"/>
            <rFont val="Tahoma"/>
            <family val="2"/>
          </rPr>
          <t>Erneuerbare-Energien-Kennzahl (EKZ)</t>
        </r>
        <r>
          <rPr>
            <sz val="11"/>
            <color indexed="81"/>
            <rFont val="Tahoma"/>
            <family val="2"/>
          </rPr>
          <t xml:space="preserve">
Festlegung der BNetzA vom 28.08.2024 unter dem Aktenzeichen BK8-24-001-A, RdNr. 45, Satz 2: </t>
        </r>
        <r>
          <rPr>
            <i/>
            <sz val="11"/>
            <color indexed="81"/>
            <rFont val="Tahoma"/>
            <family val="2"/>
          </rPr>
          <t>"Die Jahreshöchstlast ist nach § 2 Nr. 7 StromNEV definiert als die höchste Last aller Entnahmen in der jeweiligen Netz- oder Umspannebene (ohne Netzverluste)."</t>
        </r>
        <r>
          <rPr>
            <sz val="11"/>
            <color indexed="81"/>
            <rFont val="Tahoma"/>
            <family val="2"/>
          </rPr>
          <t xml:space="preserve">
</t>
        </r>
        <r>
          <rPr>
            <u/>
            <sz val="11"/>
            <color indexed="81"/>
            <rFont val="Tahoma"/>
            <family val="2"/>
          </rPr>
          <t xml:space="preserve">Veröffentlichung
</t>
        </r>
        <r>
          <rPr>
            <sz val="11"/>
            <color indexed="81"/>
            <rFont val="Tahoma"/>
            <family val="2"/>
          </rPr>
          <t>Nach dem Leitfaden der BNetzA für die Internet-Veröffentlichungspflichten der Stromnetzbetreiber, dort lft. Nr. 22, müssen Verteilernetzbetreiber diese Jahreshöchstlast veröffentlichen.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GW</author>
  </authors>
  <commentList>
    <comment ref="A11" authorId="0" shapeId="0" xr:uid="{00000000-0006-0000-0300-000001000000}">
      <text>
        <r>
          <rPr>
            <b/>
            <sz val="9"/>
            <color indexed="81"/>
            <rFont val="Tahoma"/>
            <family val="2"/>
          </rPr>
          <t>GW:</t>
        </r>
        <r>
          <rPr>
            <sz val="9"/>
            <color indexed="81"/>
            <rFont val="Tahoma"/>
            <family val="2"/>
          </rPr>
          <t xml:space="preserve">
Auch bei nicht gepoolten Übergabestellen ist ein Summenlastgang zu bilden.
Es ist nur der (Summen-)Lastgang von echten Einspeisungen zu betrachten. Hier gehen weder Ausspeisungen aus NE5 in die eigene NE4 noch Auspeisungen aus NE5 in fremde Netze ein.</t>
        </r>
      </text>
    </comment>
    <comment ref="A18" authorId="0" shapeId="0" xr:uid="{00000000-0006-0000-0300-000002000000}">
      <text>
        <r>
          <rPr>
            <b/>
            <sz val="11"/>
            <color indexed="81"/>
            <rFont val="Tahoma"/>
            <family val="2"/>
          </rPr>
          <t>GW:</t>
        </r>
        <r>
          <rPr>
            <sz val="11"/>
            <color indexed="81"/>
            <rFont val="Tahoma"/>
            <family val="2"/>
          </rPr>
          <t xml:space="preserve">
Der naive Ansatz
Lastgänge der Letztverbraucher
+ Lastgänge Abgabe an die eigene nachgelagerte Ebene
+ Lastgänge Abgabe an fremde Netze
+ Lastgang Verluste
= Summenlastgang der Entnahmen inkl. Verluste
funktioniert nur, falls die Lastgänge Abgabe an die eigene nachgelagerte Ebene bekannt sind.
Überspeisungen (in die eigene vorgelagerte Ebene und in fremde Netze) zählen also bei der Ermittlung des Summenlastgangs der Entnahmen inkl. Verluste nicht zu den Entnahmen.</t>
        </r>
      </text>
    </comment>
    <comment ref="A25" authorId="0" shapeId="0" xr:uid="{00000000-0006-0000-0300-000003000000}">
      <text>
        <r>
          <rPr>
            <b/>
            <sz val="11"/>
            <color indexed="81"/>
            <rFont val="Tahoma"/>
            <family val="2"/>
          </rPr>
          <t>GW:</t>
        </r>
        <r>
          <rPr>
            <sz val="11"/>
            <color indexed="81"/>
            <rFont val="Tahoma"/>
            <family val="2"/>
          </rPr>
          <t xml:space="preserve">
= Zeitpunkt der Jahreshöchstlast der NE6</t>
        </r>
      </text>
    </comment>
    <comment ref="A34" authorId="0" shapeId="0" xr:uid="{00000000-0006-0000-0300-000004000000}">
      <text>
        <r>
          <rPr>
            <b/>
            <sz val="11"/>
            <color indexed="81"/>
            <rFont val="Tahoma"/>
            <family val="2"/>
          </rPr>
          <t>GW:</t>
        </r>
        <r>
          <rPr>
            <sz val="11"/>
            <color indexed="81"/>
            <rFont val="Tahoma"/>
            <family val="2"/>
          </rPr>
          <t xml:space="preserve">
Der naive Ansatz
Lastgänge der Letztverbraucher
+ Lastgänge Abgabe an die eigene nachgelagerte Ebene
+ Lastgänge Abgabe an fremde Netze
+ Lastgang Verluste
= Summenlastgang der Entnahmen inkl. Verluste
funktioniert nur, falls die Lastgänge Abgabe an die eigene nachgelagerte Ebene bekannt sind.
Überspeisungen (in die eigene vorgelagerte Ebene und in fremde Netze) zählen also bei der Ermittlung des Summenlastgangs der Entnahmen inkl. Verluste nicht zu den Entnahmen.</t>
        </r>
      </text>
    </comment>
    <comment ref="C36" authorId="0" shapeId="0" xr:uid="{00000000-0006-0000-0300-000005000000}">
      <text>
        <r>
          <rPr>
            <b/>
            <sz val="11"/>
            <color indexed="81"/>
            <rFont val="Tahoma"/>
            <family val="2"/>
          </rPr>
          <t>GW:</t>
        </r>
        <r>
          <rPr>
            <sz val="11"/>
            <color indexed="81"/>
            <rFont val="Tahoma"/>
            <family val="2"/>
          </rPr>
          <t xml:space="preserve">
</t>
        </r>
        <r>
          <rPr>
            <u/>
            <sz val="11"/>
            <color indexed="81"/>
            <rFont val="Tahoma"/>
            <family val="2"/>
          </rPr>
          <t>Briefmarke</t>
        </r>
        <r>
          <rPr>
            <sz val="11"/>
            <color indexed="81"/>
            <rFont val="Tahoma"/>
            <family val="2"/>
          </rPr>
          <t xml:space="preserve">
Unter dem Blickwinkel der Kostenverursachung wäre es m. E. sachgerecht, auch Ausspeisung in die eigene vorgelagerte Ebene und Ausspeisungen in fremde Netze als Entnahme in der Ebene zu behandeln. In die Briefmarke wäre dann diese Ausspeisung miteinzubeziehen. Dies würde dann zu einer Kostenwälzung von unten nach oben führen.
Derzeit ist eine solche Kostenwälzung jedoch nicht vorgesehen (vgl. 14 Abs. 1 StromNEV und § 2 Nr. 6 StromNEV i.V.m. § 17 Abs. 2 StromNEV). Die Netzkosten tragen ausschließlich die Kunden in der Ebene und die Kunden in den nachgelagerten Ebenen.
</t>
        </r>
        <r>
          <rPr>
            <u/>
            <sz val="11"/>
            <color indexed="81"/>
            <rFont val="Tahoma"/>
            <family val="2"/>
          </rPr>
          <t xml:space="preserve">Maximalwertkurve bei individuelle Netzentgelte
</t>
        </r>
        <r>
          <rPr>
            <sz val="11"/>
            <color indexed="81"/>
            <rFont val="Tahoma"/>
            <family val="2"/>
          </rPr>
          <t xml:space="preserve">Mit individuellen Netzentgelten sollen die Kunden belohnt werden,  die das Netz dann wenig benötigen, wenn eine große Nachfrage anderer Kunden ist. Deshalb sind auch hier keine Überspeisungen bei der Maximalwertkurve zu berücksichtigen. </t>
        </r>
        <r>
          <rPr>
            <u/>
            <sz val="11"/>
            <color indexed="81"/>
            <rFont val="Tahoma"/>
            <family val="2"/>
          </rPr>
          <t xml:space="preserve">
</t>
        </r>
        <r>
          <rPr>
            <sz val="11"/>
            <color indexed="81"/>
            <rFont val="Tahoma"/>
            <family val="2"/>
          </rPr>
          <t xml:space="preserve">Nach dem Beschluss BK4-13-739 beruht die Maximalwertkurve des Tages auf den IST-Daten des Referenzzeitraums. M. E. können/sollen/müssen diese IST-Daten um Sondereffekte im Referenzzeitraum 
bereinigt werden.
</t>
        </r>
        <r>
          <rPr>
            <u/>
            <sz val="11"/>
            <color indexed="81"/>
            <rFont val="Tahoma"/>
            <family val="2"/>
          </rPr>
          <t>Erneuerbare-Energien-Kennzahl (EKZ)</t>
        </r>
        <r>
          <rPr>
            <sz val="11"/>
            <color indexed="81"/>
            <rFont val="Tahoma"/>
            <family val="2"/>
          </rPr>
          <t xml:space="preserve">
Festlegung der BNetzA vom 28.08.2024 unter dem Aktenzeichen BK8-24-001-A, RdNr. 45, Satz 2: </t>
        </r>
        <r>
          <rPr>
            <i/>
            <sz val="11"/>
            <color indexed="81"/>
            <rFont val="Tahoma"/>
            <family val="2"/>
          </rPr>
          <t>"Die Jahreshöchstlast ist nach § 2 Nr. 7 StromNEV definiert als die höchste Last aller Entnahmen in der jeweiligen Netz- oder Umspannebene (ohne Netzverluste)."</t>
        </r>
        <r>
          <rPr>
            <sz val="11"/>
            <color indexed="81"/>
            <rFont val="Tahoma"/>
            <family val="2"/>
          </rPr>
          <t xml:space="preserve">
</t>
        </r>
        <r>
          <rPr>
            <u/>
            <sz val="11"/>
            <color indexed="81"/>
            <rFont val="Tahoma"/>
            <family val="2"/>
          </rPr>
          <t xml:space="preserve">Veröffentlichung
</t>
        </r>
        <r>
          <rPr>
            <sz val="11"/>
            <color indexed="81"/>
            <rFont val="Tahoma"/>
            <family val="2"/>
          </rPr>
          <t>Nach dem Leitfaden der BNetzA für die Internet-Veröffentlichungspflichten der Stromnetzbetreiber, dort lft. Nr. 22, müssen Verteilernetzbetreiber diese Jahreshöchstlast veröffentlichen.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GW</author>
  </authors>
  <commentList>
    <comment ref="A11" authorId="0" shapeId="0" xr:uid="{00000000-0006-0000-0400-000001000000}">
      <text>
        <r>
          <rPr>
            <b/>
            <sz val="11"/>
            <color indexed="81"/>
            <rFont val="Tahoma"/>
            <family val="2"/>
          </rPr>
          <t>GW:</t>
        </r>
        <r>
          <rPr>
            <sz val="11"/>
            <color indexed="81"/>
            <rFont val="Tahoma"/>
            <family val="2"/>
          </rPr>
          <t xml:space="preserve">
Auch bei nicht gepoolten Übergabestellen ist ein Summenlastgang zu bilden.
Es ist nur der (Summen-)Lastgang von echten Einspeisungen zu betrachten. Hier gehen weder Ausspeisungen aus NE5 in die eigene NE4 noch Auspeisungen aus NE5 in fremde Netze ein.</t>
        </r>
      </text>
    </comment>
    <comment ref="A18" authorId="0" shapeId="0" xr:uid="{00000000-0006-0000-0400-000002000000}">
      <text>
        <r>
          <rPr>
            <b/>
            <sz val="11"/>
            <color indexed="81"/>
            <rFont val="Tahoma"/>
            <family val="2"/>
          </rPr>
          <t>GW:</t>
        </r>
        <r>
          <rPr>
            <sz val="11"/>
            <color indexed="81"/>
            <rFont val="Tahoma"/>
            <family val="2"/>
          </rPr>
          <t xml:space="preserve">
Der naive Ansatz
Lastgänge der Letztverbraucher
+ Lastgänge Abgabe an die eigene nachgelagerte Ebene
+ Lastgänge Abgabe an fremde Netze
+ Lastgang Verluste
= Summenlastgang der Entnahmen inkl. Verluste
funktioniert nur, falls die Lastgänge Abgabe an die eigene nachgelagerte Ebene bekannt sind.
Überspeisungen (in die eigene vorgelagerte Ebene und in fremde Netze) zählen also bei der Ermittlung des Summenlastgangs der Entnahmen inkl. Verluste nicht zu den Entnahmen.</t>
        </r>
      </text>
    </comment>
    <comment ref="A34" authorId="0" shapeId="0" xr:uid="{00000000-0006-0000-0400-000003000000}">
      <text>
        <r>
          <rPr>
            <b/>
            <sz val="11"/>
            <color indexed="81"/>
            <rFont val="Tahoma"/>
            <family val="2"/>
          </rPr>
          <t>GW:</t>
        </r>
        <r>
          <rPr>
            <sz val="11"/>
            <color indexed="81"/>
            <rFont val="Tahoma"/>
            <family val="2"/>
          </rPr>
          <t xml:space="preserve">
Der naive Ansatz
Lastgänge der Letztverbraucher
+ Lastgänge Abgabe an die eigene nachgelagerte Ebene
+ Lastgänge Abgabe an fremde Netze
+ Lastgang Verluste
= Summenlastgang der Entnahmen inkl. Verluste
funktioniert nur, falls die Lastgänge Abgabe an die eigene nachgelagerte Ebene bekannt sind.
Überspeisungen (in die eigene vorgelagerte Ebene und in fremde Netze) zählen also bei der Ermittlung des Summenlastgangs der Entnahmen inkl. Verluste nicht zu den Entnahmen.</t>
        </r>
      </text>
    </comment>
    <comment ref="A41" authorId="0" shapeId="0" xr:uid="{00000000-0006-0000-0400-000004000000}">
      <text>
        <r>
          <rPr>
            <b/>
            <sz val="11"/>
            <color indexed="81"/>
            <rFont val="Tahoma"/>
            <family val="2"/>
          </rPr>
          <t>GW:</t>
        </r>
        <r>
          <rPr>
            <sz val="11"/>
            <color indexed="81"/>
            <rFont val="Tahoma"/>
            <family val="2"/>
          </rPr>
          <t xml:space="preserve">
= Zeitpunkt der Jahreshöchstlast der NE7</t>
        </r>
      </text>
    </comment>
    <comment ref="A50" authorId="0" shapeId="0" xr:uid="{00000000-0006-0000-0400-000005000000}">
      <text>
        <r>
          <rPr>
            <b/>
            <sz val="11"/>
            <color indexed="81"/>
            <rFont val="Tahoma"/>
            <family val="2"/>
          </rPr>
          <t>GW:</t>
        </r>
        <r>
          <rPr>
            <sz val="11"/>
            <color indexed="81"/>
            <rFont val="Tahoma"/>
            <family val="2"/>
          </rPr>
          <t xml:space="preserve">
Der naive Ansatz
Lastgänge der Letztverbraucher
+ Lastgänge Abgabe an die eigene nachgelagerte Ebene
+ Lastgänge Abgabe an fremde Netze
+ Lastgang Verluste
= Summenlastgang der Entnahmen inkl. Verluste
funktioniert nur, falls die Lastgänge Abgabe an die eigene nachgelagerte Ebene bekannt sind.
Überspeisungen (in die eigene vorgelagerte Ebene und in fremde Netze) zählen also bei der Ermittlung des Summenlastgangs der Entnahmen inkl. Verluste nicht zu den Entnahmen.</t>
        </r>
      </text>
    </comment>
    <comment ref="E51" authorId="0" shapeId="0" xr:uid="{00000000-0006-0000-0400-000006000000}">
      <text>
        <r>
          <rPr>
            <b/>
            <sz val="11"/>
            <color indexed="81"/>
            <rFont val="Tahoma"/>
            <family val="2"/>
          </rPr>
          <t>GW:</t>
        </r>
        <r>
          <rPr>
            <sz val="11"/>
            <color indexed="81"/>
            <rFont val="Tahoma"/>
            <family val="2"/>
          </rPr>
          <t xml:space="preserve">
In der Praxis werden diese Lastgänge in Summe retrograd ermittelt.</t>
        </r>
      </text>
    </comment>
    <comment ref="C52" authorId="0" shapeId="0" xr:uid="{00000000-0006-0000-0400-000007000000}">
      <text>
        <r>
          <rPr>
            <b/>
            <sz val="11"/>
            <color indexed="81"/>
            <rFont val="Tahoma"/>
            <family val="2"/>
          </rPr>
          <t>GW:</t>
        </r>
        <r>
          <rPr>
            <sz val="11"/>
            <color indexed="81"/>
            <rFont val="Tahoma"/>
            <family val="2"/>
          </rPr>
          <t xml:space="preserve">
</t>
        </r>
        <r>
          <rPr>
            <u/>
            <sz val="11"/>
            <color indexed="81"/>
            <rFont val="Tahoma"/>
            <family val="2"/>
          </rPr>
          <t>Briefmarke</t>
        </r>
        <r>
          <rPr>
            <sz val="11"/>
            <color indexed="81"/>
            <rFont val="Tahoma"/>
            <family val="2"/>
          </rPr>
          <t xml:space="preserve">
Unter dem Blickwinkel der Kostenverursachung wäre es m. E. sachgerecht, auch Ausspeisung in die eigene vorgelagerte Ebene und Ausspeisungen in fremde Netze als Entnahme in der Ebene zu behandeln. In die Briefmarke wäre dann diese Ausspeisung miteinzubeziehen. Dies würde dann zu einer Kostenwälzung von unten nach oben führen.
Derzeit ist eine solche Kostenwälzung jedoch nicht vorgesehen (vgl. 14 Abs. 1 StromNEV und § 2 Nr. 6 StromNEV i.V.m. § 17 Abs. 2 StromNEV). Die Netzkosten tragen ausschließlich die Kunden in der Ebene und die Kunden in den nachgelagerten Ebenen.
</t>
        </r>
        <r>
          <rPr>
            <u/>
            <sz val="11"/>
            <color indexed="81"/>
            <rFont val="Tahoma"/>
            <family val="2"/>
          </rPr>
          <t xml:space="preserve">Maximalwertkurve bei individuelle Netzentgelte
</t>
        </r>
        <r>
          <rPr>
            <sz val="11"/>
            <color indexed="81"/>
            <rFont val="Tahoma"/>
            <family val="2"/>
          </rPr>
          <t xml:space="preserve">Mit individuellen Netzentgelten sollen die Kunden belohnt werden,  die das Netz dann wenig benötigen, wenn eine große Nachfrage anderer Kunden ist. Deshalb sind auch hier keine Überspeisungen bei der Maximalwertkurve zu berücksichtigen. </t>
        </r>
        <r>
          <rPr>
            <u/>
            <sz val="11"/>
            <color indexed="81"/>
            <rFont val="Tahoma"/>
            <family val="2"/>
          </rPr>
          <t xml:space="preserve">
</t>
        </r>
        <r>
          <rPr>
            <sz val="11"/>
            <color indexed="81"/>
            <rFont val="Tahoma"/>
            <family val="2"/>
          </rPr>
          <t xml:space="preserve">Nach dem Beschluss BK4-13-739 beruht die Maximalwertkurve des Tages auf den IST-Daten des Referenzzeitraums. M. E. können/sollen/müssen diese IST-Daten um Sondereffekte im Referenzzeitraum 
bereinigt werden.
</t>
        </r>
        <r>
          <rPr>
            <u/>
            <sz val="11"/>
            <color indexed="81"/>
            <rFont val="Tahoma"/>
            <family val="2"/>
          </rPr>
          <t>Erneuerbare-Energien-Kennzahl (EKZ)</t>
        </r>
        <r>
          <rPr>
            <sz val="11"/>
            <color indexed="81"/>
            <rFont val="Tahoma"/>
            <family val="2"/>
          </rPr>
          <t xml:space="preserve">
Festlegung der BNetzA vom 28.08.2024 unter dem Aktenzeichen BK8-24-001-A, RdNr. 45, Satz 2: </t>
        </r>
        <r>
          <rPr>
            <i/>
            <sz val="11"/>
            <color indexed="81"/>
            <rFont val="Tahoma"/>
            <family val="2"/>
          </rPr>
          <t>"Die Jahreshöchstlast ist nach § 2 Nr. 7 StromNEV definiert als die höchste Last aller Entnahmen in der jeweiligen Netz- oder Umspannebene (ohne Netzverluste)."</t>
        </r>
        <r>
          <rPr>
            <sz val="11"/>
            <color indexed="81"/>
            <rFont val="Tahoma"/>
            <family val="2"/>
          </rPr>
          <t xml:space="preserve">
</t>
        </r>
        <r>
          <rPr>
            <u/>
            <sz val="11"/>
            <color indexed="81"/>
            <rFont val="Tahoma"/>
            <family val="2"/>
          </rPr>
          <t xml:space="preserve">Veröffentlichung
</t>
        </r>
        <r>
          <rPr>
            <sz val="11"/>
            <color indexed="81"/>
            <rFont val="Tahoma"/>
            <family val="2"/>
          </rPr>
          <t>Nach dem Leitfaden der BNetzA für die Internet-Veröffentlichungspflichten der Stromnetzbetreiber, dort lft. Nr. 22, müssen Verteilernetzbetreiber diese Jahreshöchstlast veröffentlichen.</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GW</author>
    <author>Auburger, Kilian (Reg Oberpfalz)</author>
  </authors>
  <commentList>
    <comment ref="A8" authorId="0" shapeId="0" xr:uid="{00000000-0006-0000-0500-000001000000}">
      <text>
        <r>
          <rPr>
            <b/>
            <sz val="11"/>
            <color indexed="81"/>
            <rFont val="Tahoma"/>
            <family val="2"/>
          </rPr>
          <t>GW:</t>
        </r>
        <r>
          <rPr>
            <sz val="11"/>
            <color indexed="81"/>
            <rFont val="Tahoma"/>
            <family val="2"/>
          </rPr>
          <t xml:space="preserve">
rechnerischer Wert unter der Voraussetzung, dass Arbeit nur von der vorgelagerten Netzebene eingespeist wird.</t>
        </r>
      </text>
    </comment>
    <comment ref="C10" authorId="0" shapeId="0" xr:uid="{00000000-0006-0000-0500-000002000000}">
      <text>
        <r>
          <rPr>
            <b/>
            <sz val="11"/>
            <color indexed="81"/>
            <rFont val="Tahoma"/>
            <family val="2"/>
          </rPr>
          <t>GW:</t>
        </r>
        <r>
          <rPr>
            <sz val="11"/>
            <color indexed="81"/>
            <rFont val="Tahoma"/>
            <family val="2"/>
          </rPr>
          <t xml:space="preserve">
Diese Zelle erschein rot, wenn die Rechnung unten zu einem anderen Wert führt.
Wegen
</t>
        </r>
        <r>
          <rPr>
            <i/>
            <sz val="11"/>
            <color indexed="81"/>
            <rFont val="Tahoma"/>
            <family val="2"/>
          </rPr>
          <t>B</t>
        </r>
        <r>
          <rPr>
            <i/>
            <vertAlign val="subscript"/>
            <sz val="11"/>
            <color indexed="81"/>
            <rFont val="Tahoma"/>
            <family val="2"/>
          </rPr>
          <t>eN</t>
        </r>
        <r>
          <rPr>
            <i/>
            <sz val="11"/>
            <color indexed="81"/>
            <rFont val="Tahoma"/>
            <family val="2"/>
          </rPr>
          <t xml:space="preserve"> + B</t>
        </r>
        <r>
          <rPr>
            <i/>
            <vertAlign val="subscript"/>
            <sz val="11"/>
            <color indexed="81"/>
            <rFont val="Tahoma"/>
            <family val="2"/>
          </rPr>
          <t>fN</t>
        </r>
        <r>
          <rPr>
            <i/>
            <sz val="11"/>
            <color indexed="81"/>
            <rFont val="Tahoma"/>
            <family val="2"/>
          </rPr>
          <t xml:space="preserve"> + D + R</t>
        </r>
        <r>
          <rPr>
            <i/>
            <vertAlign val="subscript"/>
            <sz val="11"/>
            <color indexed="81"/>
            <rFont val="Tahoma"/>
            <family val="2"/>
          </rPr>
          <t>eN</t>
        </r>
        <r>
          <rPr>
            <i/>
            <sz val="11"/>
            <color indexed="81"/>
            <rFont val="Tahoma"/>
            <family val="2"/>
          </rPr>
          <t xml:space="preserve"> + R</t>
        </r>
        <r>
          <rPr>
            <i/>
            <vertAlign val="subscript"/>
            <sz val="11"/>
            <color indexed="81"/>
            <rFont val="Tahoma"/>
            <family val="2"/>
          </rPr>
          <t>fN</t>
        </r>
        <r>
          <rPr>
            <i/>
            <sz val="11"/>
            <color indexed="81"/>
            <rFont val="Tahoma"/>
            <family val="2"/>
          </rPr>
          <t xml:space="preserve"> = L + eN + fN + A</t>
        </r>
        <r>
          <rPr>
            <i/>
            <vertAlign val="subscript"/>
            <sz val="11"/>
            <color indexed="81"/>
            <rFont val="Tahoma"/>
            <family val="2"/>
          </rPr>
          <t>eN</t>
        </r>
        <r>
          <rPr>
            <i/>
            <sz val="11"/>
            <color indexed="81"/>
            <rFont val="Tahoma"/>
            <family val="2"/>
          </rPr>
          <t xml:space="preserve"> + A</t>
        </r>
        <r>
          <rPr>
            <i/>
            <vertAlign val="subscript"/>
            <sz val="11"/>
            <color indexed="81"/>
            <rFont val="Tahoma"/>
            <family val="2"/>
          </rPr>
          <t>fN</t>
        </r>
        <r>
          <rPr>
            <i/>
            <sz val="11"/>
            <color indexed="81"/>
            <rFont val="Tahoma"/>
            <family val="2"/>
          </rPr>
          <t xml:space="preserve"> +V
= (L + eN + fN + A</t>
        </r>
        <r>
          <rPr>
            <i/>
            <vertAlign val="subscript"/>
            <sz val="11"/>
            <color indexed="81"/>
            <rFont val="Tahoma"/>
            <family val="2"/>
          </rPr>
          <t>eN</t>
        </r>
        <r>
          <rPr>
            <i/>
            <sz val="11"/>
            <color indexed="81"/>
            <rFont val="Tahoma"/>
            <family val="2"/>
          </rPr>
          <t xml:space="preserve"> + A</t>
        </r>
        <r>
          <rPr>
            <i/>
            <vertAlign val="subscript"/>
            <sz val="11"/>
            <color indexed="81"/>
            <rFont val="Tahoma"/>
            <family val="2"/>
          </rPr>
          <t>fN</t>
        </r>
        <r>
          <rPr>
            <i/>
            <sz val="11"/>
            <color indexed="81"/>
            <rFont val="Tahoma"/>
            <family val="2"/>
          </rPr>
          <t>) * (1+v)
= (L + eN + fN) * (1+v) + (A</t>
        </r>
        <r>
          <rPr>
            <i/>
            <vertAlign val="subscript"/>
            <sz val="11"/>
            <color indexed="81"/>
            <rFont val="Tahoma"/>
            <family val="2"/>
          </rPr>
          <t>eN</t>
        </r>
        <r>
          <rPr>
            <i/>
            <sz val="11"/>
            <color indexed="81"/>
            <rFont val="Tahoma"/>
            <family val="2"/>
          </rPr>
          <t xml:space="preserve"> + A</t>
        </r>
        <r>
          <rPr>
            <i/>
            <vertAlign val="subscript"/>
            <sz val="11"/>
            <color indexed="81"/>
            <rFont val="Tahoma"/>
            <family val="2"/>
          </rPr>
          <t>fN</t>
        </r>
        <r>
          <rPr>
            <i/>
            <sz val="11"/>
            <color indexed="81"/>
            <rFont val="Tahoma"/>
            <family val="2"/>
          </rPr>
          <t>) * (1+v)
= E</t>
        </r>
        <r>
          <rPr>
            <i/>
            <vertAlign val="subscript"/>
            <sz val="11"/>
            <color indexed="81"/>
            <rFont val="Tahoma"/>
            <family val="2"/>
          </rPr>
          <t>max</t>
        </r>
        <r>
          <rPr>
            <i/>
            <sz val="11"/>
            <color indexed="81"/>
            <rFont val="Tahoma"/>
            <family val="2"/>
          </rPr>
          <t xml:space="preserve"> + (A</t>
        </r>
        <r>
          <rPr>
            <i/>
            <vertAlign val="subscript"/>
            <sz val="11"/>
            <color indexed="81"/>
            <rFont val="Tahoma"/>
            <family val="2"/>
          </rPr>
          <t>eN</t>
        </r>
        <r>
          <rPr>
            <i/>
            <sz val="11"/>
            <color indexed="81"/>
            <rFont val="Tahoma"/>
            <family val="2"/>
          </rPr>
          <t xml:space="preserve"> + A</t>
        </r>
        <r>
          <rPr>
            <i/>
            <vertAlign val="subscript"/>
            <sz val="11"/>
            <color indexed="81"/>
            <rFont val="Tahoma"/>
            <family val="2"/>
          </rPr>
          <t>fN</t>
        </r>
        <r>
          <rPr>
            <i/>
            <sz val="11"/>
            <color indexed="81"/>
            <rFont val="Tahoma"/>
            <family val="2"/>
          </rPr>
          <t>) * (1+v)</t>
        </r>
        <r>
          <rPr>
            <sz val="11"/>
            <color indexed="81"/>
            <rFont val="Tahoma"/>
            <family val="2"/>
          </rPr>
          <t xml:space="preserve">
gilt
</t>
        </r>
        <r>
          <rPr>
            <i/>
            <sz val="11"/>
            <color indexed="81"/>
            <rFont val="Tahoma"/>
            <family val="2"/>
          </rPr>
          <t>E</t>
        </r>
        <r>
          <rPr>
            <i/>
            <vertAlign val="subscript"/>
            <sz val="11"/>
            <color indexed="81"/>
            <rFont val="Tahoma"/>
            <family val="2"/>
          </rPr>
          <t>max</t>
        </r>
        <r>
          <rPr>
            <i/>
            <sz val="11"/>
            <color indexed="81"/>
            <rFont val="Tahoma"/>
            <family val="2"/>
          </rPr>
          <t xml:space="preserve"> - B</t>
        </r>
        <r>
          <rPr>
            <i/>
            <vertAlign val="subscript"/>
            <sz val="11"/>
            <color indexed="81"/>
            <rFont val="Tahoma"/>
            <family val="2"/>
          </rPr>
          <t>eN</t>
        </r>
        <r>
          <rPr>
            <i/>
            <sz val="11"/>
            <color indexed="81"/>
            <rFont val="Tahoma"/>
            <family val="2"/>
          </rPr>
          <t xml:space="preserve"> - B</t>
        </r>
        <r>
          <rPr>
            <i/>
            <vertAlign val="subscript"/>
            <sz val="11"/>
            <color indexed="81"/>
            <rFont val="Tahoma"/>
            <family val="2"/>
          </rPr>
          <t>fN</t>
        </r>
        <r>
          <rPr>
            <i/>
            <sz val="11"/>
            <color indexed="81"/>
            <rFont val="Tahoma"/>
            <family val="2"/>
          </rPr>
          <t xml:space="preserve"> = D + R</t>
        </r>
        <r>
          <rPr>
            <i/>
            <vertAlign val="subscript"/>
            <sz val="11"/>
            <color indexed="81"/>
            <rFont val="Tahoma"/>
            <family val="2"/>
          </rPr>
          <t>eN</t>
        </r>
        <r>
          <rPr>
            <i/>
            <sz val="11"/>
            <color indexed="81"/>
            <rFont val="Tahoma"/>
            <family val="2"/>
          </rPr>
          <t xml:space="preserve"> + R</t>
        </r>
        <r>
          <rPr>
            <i/>
            <vertAlign val="subscript"/>
            <sz val="11"/>
            <color indexed="81"/>
            <rFont val="Tahoma"/>
            <family val="2"/>
          </rPr>
          <t>fN</t>
        </r>
        <r>
          <rPr>
            <i/>
            <sz val="11"/>
            <color indexed="81"/>
            <rFont val="Tahoma"/>
            <family val="2"/>
          </rPr>
          <t xml:space="preserve"> - (A</t>
        </r>
        <r>
          <rPr>
            <i/>
            <vertAlign val="subscript"/>
            <sz val="11"/>
            <color indexed="81"/>
            <rFont val="Tahoma"/>
            <family val="2"/>
          </rPr>
          <t>eN</t>
        </r>
        <r>
          <rPr>
            <i/>
            <sz val="11"/>
            <color indexed="81"/>
            <rFont val="Tahoma"/>
            <family val="2"/>
          </rPr>
          <t xml:space="preserve"> + A</t>
        </r>
        <r>
          <rPr>
            <i/>
            <vertAlign val="subscript"/>
            <sz val="11"/>
            <color indexed="81"/>
            <rFont val="Tahoma"/>
            <family val="2"/>
          </rPr>
          <t>fN</t>
        </r>
        <r>
          <rPr>
            <i/>
            <sz val="11"/>
            <color indexed="81"/>
            <rFont val="Tahoma"/>
            <family val="2"/>
          </rPr>
          <t>) * (1+v) = E</t>
        </r>
        <r>
          <rPr>
            <i/>
            <vertAlign val="subscript"/>
            <sz val="11"/>
            <color indexed="81"/>
            <rFont val="Tahoma"/>
            <family val="2"/>
          </rPr>
          <t>verm,tat</t>
        </r>
      </text>
    </comment>
    <comment ref="P13" authorId="0" shapeId="0" xr:uid="{00000000-0006-0000-0500-000003000000}">
      <text>
        <r>
          <rPr>
            <b/>
            <sz val="11"/>
            <color indexed="81"/>
            <rFont val="Tahoma"/>
            <family val="2"/>
          </rPr>
          <t>GW:</t>
        </r>
        <r>
          <rPr>
            <sz val="11"/>
            <color indexed="81"/>
            <rFont val="Tahoma"/>
            <family val="2"/>
          </rPr>
          <t xml:space="preserve">
Es ist nur die Vergütung anzusetzen, die auch den vermNE im EEG-Testat bzw. an die Einspeiser zugrunde lag. Stehen die endgültigen Einspeisevergütungssätze erst danach fest, sind grundsätzlich das EEG-Testat und die Gutschriften an die anderen Einspeiser zu korrigieren. 
Bei kleineren Beträgen kann man ausnahmsweise die Differenz zum bisherigen Ansatz (=Gutschrift bzw. Nachbelastung des Netzbetreibers der vorgelagerten Netzebene) entweder
1. von den vermNE lt. Prüfung abziehen (NB erhält nachträglich mehr Geld (Gutschrift)) bzw addieren (NB muss nachträglich Geld zurückzahlen (Nachbelastung)). Dann wirkt die Ausnahmeregelung bei einer Gutschrift zu Lasten des ÜNB bzw. der Einspeiser (und über die niedrigere EO zu Gunsten aller anderen Netzkunden), bei einer Nachbelastung zu Gunsten des ÜNB bzw. der Einspeiser (und über die höhere EO zu Lasten aller anderen Netzkunden) oder
2. im Folgejahr berücksichtigen. In diesem Fall wird die Gutschrift/Nachbelastung den Einspeiserrn im Folgejahr zugeordnet. Die Einspeiser im Folgejahr werden nicht identisch sein mit den Einspeisern im Betrachtungsjahr. Außerdem wird im Folgejahr ein anderer Zeitpunkt für die Rückspeisevergütung maßgeblich sein. Deshalb kommt es auch bei dieser Vorgehensweise zu Verzerrungen.</t>
        </r>
      </text>
    </comment>
    <comment ref="W13" authorId="0" shapeId="0" xr:uid="{00000000-0006-0000-0500-000004000000}">
      <text>
        <r>
          <rPr>
            <b/>
            <sz val="11"/>
            <color indexed="81"/>
            <rFont val="Segoe UI"/>
            <family val="2"/>
          </rPr>
          <t>GW:</t>
        </r>
        <r>
          <rPr>
            <sz val="11"/>
            <color indexed="81"/>
            <rFont val="Segoe UI"/>
            <family val="2"/>
          </rPr>
          <t xml:space="preserve">
Erhält der NB eine Rückspeisevergütung von zwei oder mehr fremden Netzen, kann dies im Tool im Moment nur über den Schlüssel 1 abgebildet werden. Bitte stellen Sie uns diesen Fall vor. Wir überlegen dann, ob wir dieses Tool anpassen können.</t>
        </r>
      </text>
    </comment>
    <comment ref="A14" authorId="0" shapeId="0" xr:uid="{00000000-0006-0000-0500-000005000000}">
      <text>
        <r>
          <rPr>
            <b/>
            <sz val="11"/>
            <color indexed="81"/>
            <rFont val="Tahoma"/>
            <family val="2"/>
          </rPr>
          <t>GW:</t>
        </r>
        <r>
          <rPr>
            <sz val="11"/>
            <color indexed="81"/>
            <rFont val="Tahoma"/>
            <family val="2"/>
          </rPr>
          <t xml:space="preserve">
für die Ermittlung der zu vergütenden Einspeisearbeit</t>
        </r>
      </text>
    </comment>
    <comment ref="C14" authorId="0" shapeId="0" xr:uid="{00000000-0006-0000-0500-000006000000}">
      <text>
        <r>
          <rPr>
            <b/>
            <sz val="11"/>
            <color indexed="81"/>
            <rFont val="Tahoma"/>
            <family val="2"/>
          </rPr>
          <t>GW:</t>
        </r>
        <r>
          <rPr>
            <sz val="11"/>
            <color indexed="81"/>
            <rFont val="Tahoma"/>
            <family val="2"/>
          </rPr>
          <t xml:space="preserve">
0 ≤ </t>
        </r>
        <r>
          <rPr>
            <i/>
            <sz val="11"/>
            <color indexed="81"/>
            <rFont val="Tahoma"/>
            <family val="2"/>
          </rPr>
          <t>r</t>
        </r>
        <r>
          <rPr>
            <sz val="11"/>
            <color indexed="81"/>
            <rFont val="Tahoma"/>
            <family val="2"/>
          </rPr>
          <t xml:space="preserve"> ≤ 1
r = 0: keine Vermeidung in dieser Ebene des Netzbetreibers, komplete Ausspeisung
r = 1: Vermeidung vollständig in dieser Ebene des Netzbetreibers, keine Ausspeisungen</t>
        </r>
      </text>
    </comment>
    <comment ref="P15" authorId="0" shapeId="0" xr:uid="{00000000-0006-0000-0500-000007000000}">
      <text>
        <r>
          <rPr>
            <b/>
            <sz val="11"/>
            <color indexed="81"/>
            <rFont val="Tahoma"/>
            <family val="2"/>
          </rPr>
          <t>GW:</t>
        </r>
        <r>
          <rPr>
            <sz val="11"/>
            <color indexed="81"/>
            <rFont val="Tahoma"/>
            <family val="2"/>
          </rPr>
          <t xml:space="preserve">
Der VDN-Leitfaden betrachtet die Vergütung/Verrrechnung für Arbeit und Leistung in Summe, so dass nach dem VDN-Leitfaden auch nicht leistungsgemessene Einspeiser einen Anteil der erhaltenen Rückspeisevergütung für Leistung erhalten. Dieses Verfahren halten wir deshalb nicht für sachgerecht und betrachten in diesem Tool die Vergütung/Verrechnung für 
Arbeit und Leistung getrennt.
</t>
        </r>
      </text>
    </comment>
    <comment ref="A16" authorId="0" shapeId="0" xr:uid="{00000000-0006-0000-0500-000008000000}">
      <text>
        <r>
          <rPr>
            <b/>
            <sz val="11"/>
            <color indexed="81"/>
            <rFont val="Tahoma"/>
            <family val="2"/>
          </rPr>
          <t>GW:</t>
        </r>
        <r>
          <rPr>
            <sz val="11"/>
            <color indexed="81"/>
            <rFont val="Tahoma"/>
            <family val="2"/>
          </rPr>
          <t xml:space="preserve">
§ 18 </t>
        </r>
        <r>
          <rPr>
            <u/>
            <sz val="11"/>
            <color indexed="81"/>
            <rFont val="Tahoma"/>
            <family val="2"/>
          </rPr>
          <t>Abs. 1</t>
        </r>
        <r>
          <rPr>
            <sz val="11"/>
            <color indexed="81"/>
            <rFont val="Tahoma"/>
            <family val="2"/>
          </rPr>
          <t xml:space="preserve"> Satz 3 StromNEV: „Dieses Entgelt muss den gegenüber den vorgelagerten Netz- oder Umspannebenen durch die jeweiligen Einspeisungen vermiedenen Netzentgelten entsprechen.“
§ 18 </t>
        </r>
        <r>
          <rPr>
            <u/>
            <sz val="11"/>
            <color indexed="81"/>
            <rFont val="Tahoma"/>
            <family val="2"/>
          </rPr>
          <t>Abs. 2</t>
        </r>
        <r>
          <rPr>
            <sz val="11"/>
            <color indexed="81"/>
            <rFont val="Tahoma"/>
            <family val="2"/>
          </rPr>
          <t xml:space="preserve"> Satz 2 StromNEV: „Maßgeblich sind die tatsächliche Vermeidungsarbeit in Kilowattstunden, die tatsächliche Vermeidungsleistung in Kilowatt und die Netzentgelte der vorgelagerten Netz- oder Umspannebene.“
Beide Vorschriften führen zwar grundsätzlich zum gleichen Ergebnis, in Einzelfällen treten jedoch Abweichungen auf. 
Zunächst kann man sich vergegenwärtigen, dass im Fall von mindestens zwei ungepoolten Übergabestellen der gewählte Ansatz (Summe der Jahreshöchstlasten lt. Eingangsrechnungen) zum richtigen eingesparten Entgelt führt (vgl. § 18 Abs. 1 Satz 2 StromNEV): Der Netzbetreiber bezahlt ein Leistungsentgelt für die auf den Rechnungen ausgewiesen Leistungswerte. Die maximale Bezuglast (</t>
        </r>
        <r>
          <rPr>
            <i/>
            <sz val="11"/>
            <color indexed="81"/>
            <rFont val="Tahoma"/>
            <family val="2"/>
          </rPr>
          <t>P</t>
        </r>
        <r>
          <rPr>
            <i/>
            <vertAlign val="subscript"/>
            <sz val="11"/>
            <color indexed="81"/>
            <rFont val="Tahoma"/>
            <family val="2"/>
          </rPr>
          <t>B,max</t>
        </r>
        <r>
          <rPr>
            <sz val="11"/>
            <color indexed="81"/>
            <rFont val="Tahoma"/>
            <family val="2"/>
          </rPr>
          <t xml:space="preserve">), für die der Netzbetreiber bezahlt hat, ergibt sich damit als Summe der auf den Rechnungen ausgewiesenen Leistungswerte. Für die in der Regel positive Differenz </t>
        </r>
        <r>
          <rPr>
            <i/>
            <sz val="11"/>
            <color indexed="81"/>
            <rFont val="Tahoma"/>
            <family val="2"/>
          </rPr>
          <t>P</t>
        </r>
        <r>
          <rPr>
            <i/>
            <vertAlign val="subscript"/>
            <sz val="11"/>
            <color indexed="81"/>
            <rFont val="Tahoma"/>
            <family val="2"/>
          </rPr>
          <t>E,max</t>
        </r>
        <r>
          <rPr>
            <sz val="11"/>
            <color indexed="81"/>
            <rFont val="Tahoma"/>
            <family val="2"/>
          </rPr>
          <t xml:space="preserve"> – </t>
        </r>
        <r>
          <rPr>
            <i/>
            <sz val="11"/>
            <color indexed="81"/>
            <rFont val="Tahoma"/>
            <family val="2"/>
          </rPr>
          <t>P</t>
        </r>
        <r>
          <rPr>
            <i/>
            <vertAlign val="subscript"/>
            <sz val="11"/>
            <color indexed="81"/>
            <rFont val="Tahoma"/>
            <family val="2"/>
          </rPr>
          <t>B,max</t>
        </r>
        <r>
          <rPr>
            <sz val="11"/>
            <color indexed="81"/>
            <rFont val="Tahoma"/>
            <family val="2"/>
          </rPr>
          <t xml:space="preserve"> spart sich der Netzbetreiber ein Leistungsentgelt des vorgelagerten Netzbetreibers. Deshalb ist </t>
        </r>
        <r>
          <rPr>
            <i/>
            <sz val="11"/>
            <color indexed="81"/>
            <rFont val="Tahoma"/>
            <family val="2"/>
          </rPr>
          <t>P</t>
        </r>
        <r>
          <rPr>
            <i/>
            <vertAlign val="subscript"/>
            <sz val="11"/>
            <color indexed="81"/>
            <rFont val="Tahoma"/>
            <family val="2"/>
          </rPr>
          <t>E,max</t>
        </r>
        <r>
          <rPr>
            <i/>
            <sz val="11"/>
            <color indexed="81"/>
            <rFont val="Tahoma"/>
            <family val="2"/>
          </rPr>
          <t xml:space="preserve"> – P</t>
        </r>
        <r>
          <rPr>
            <i/>
            <vertAlign val="subscript"/>
            <sz val="11"/>
            <color indexed="81"/>
            <rFont val="Tahoma"/>
            <family val="2"/>
          </rPr>
          <t>B,max</t>
        </r>
        <r>
          <rPr>
            <sz val="11"/>
            <color indexed="81"/>
            <rFont val="Tahoma"/>
            <family val="2"/>
          </rPr>
          <t xml:space="preserve"> die tatsächliche Vermeidungsleistung. In Extremfällen ist </t>
        </r>
        <r>
          <rPr>
            <i/>
            <sz val="11"/>
            <color indexed="81"/>
            <rFont val="Tahoma"/>
            <family val="2"/>
          </rPr>
          <t>P</t>
        </r>
        <r>
          <rPr>
            <i/>
            <vertAlign val="subscript"/>
            <sz val="11"/>
            <color indexed="81"/>
            <rFont val="Tahoma"/>
            <family val="2"/>
          </rPr>
          <t>B,max</t>
        </r>
        <r>
          <rPr>
            <sz val="11"/>
            <color indexed="81"/>
            <rFont val="Tahoma"/>
            <family val="2"/>
          </rPr>
          <t xml:space="preserve"> größer als </t>
        </r>
        <r>
          <rPr>
            <i/>
            <sz val="11"/>
            <color indexed="81"/>
            <rFont val="Tahoma"/>
            <family val="2"/>
          </rPr>
          <t>P</t>
        </r>
        <r>
          <rPr>
            <i/>
            <vertAlign val="subscript"/>
            <sz val="11"/>
            <color indexed="81"/>
            <rFont val="Tahoma"/>
            <family val="2"/>
          </rPr>
          <t>E,max</t>
        </r>
        <r>
          <rPr>
            <sz val="11"/>
            <color indexed="81"/>
            <rFont val="Tahoma"/>
            <family val="2"/>
          </rPr>
          <t xml:space="preserve">, so dass trotz dezentraler Einspeisung keine Leistung vermieden wird.
Der gewählte Ansatz führt nur dann zum richtigen eingesparten Entgelt, falls der NB ein zusammenhängendes Netzgebiet hat. Deshalb ist im Fall von mehreren nicht zusammenhängenden Netzen, dieses Tool für jedes Netz zu befüllen. Auf diese Weise können auch unterschiedliche vorgelagerte Netzentgelte in den verschiedenen Netzgebieten berücksichtigt werden.
Auch nach § 18 </t>
        </r>
        <r>
          <rPr>
            <u/>
            <sz val="11"/>
            <color indexed="81"/>
            <rFont val="Tahoma"/>
            <family val="2"/>
          </rPr>
          <t>Abs. 2</t>
        </r>
        <r>
          <rPr>
            <sz val="11"/>
            <color indexed="81"/>
            <rFont val="Tahoma"/>
            <family val="2"/>
          </rPr>
          <t xml:space="preserve"> Satz 2 StromNEV, wonach tatsächliche physikalische Größen maßgeblich sind, ergibt sich kein anderes Ergebnis: Die auf den Rechnungen ausgewiesenen Leistungen wurden nämlich tatsächlich bezogen, nicht aber der höchste Leistungswert des Summenlastgangs aller Bezüge.
Im Falle von mehreren Übergabestellen auf verschiedenen Ebenen gibt es in den Rechnungen kein Pooling. Auch bei der Ermittlung der vermiedenen Netzentgelte ist in diesem Fall kein Pooling anzusetzen, da
- es bei den vermiedenen Netzentgelten keinen neuen Pooling-Begriff gibt und
- wie oben ausgeführt nur eine Leistung in Höhe  </t>
        </r>
        <r>
          <rPr>
            <i/>
            <sz val="11"/>
            <color indexed="81"/>
            <rFont val="Tahoma"/>
            <family val="2"/>
          </rPr>
          <t>P</t>
        </r>
        <r>
          <rPr>
            <i/>
            <vertAlign val="subscript"/>
            <sz val="11"/>
            <color indexed="81"/>
            <rFont val="Tahoma"/>
            <family val="2"/>
          </rPr>
          <t>E,max</t>
        </r>
        <r>
          <rPr>
            <i/>
            <sz val="11"/>
            <color indexed="81"/>
            <rFont val="Tahoma"/>
            <family val="2"/>
          </rPr>
          <t xml:space="preserve"> – P</t>
        </r>
        <r>
          <rPr>
            <i/>
            <vertAlign val="subscript"/>
            <sz val="11"/>
            <color indexed="81"/>
            <rFont val="Tahoma"/>
            <family val="2"/>
          </rPr>
          <t>B,max</t>
        </r>
        <r>
          <rPr>
            <sz val="11"/>
            <color indexed="81"/>
            <rFont val="Tahoma"/>
            <family val="2"/>
          </rPr>
          <t xml:space="preserve"> vermieden wird und auch nur diese Leistung zu Kosten beim Netzbetreiber führen kann.
</t>
        </r>
        <r>
          <rPr>
            <u/>
            <sz val="11"/>
            <color indexed="81"/>
            <rFont val="Tahoma"/>
            <family val="2"/>
          </rPr>
          <t>Pooling</t>
        </r>
        <r>
          <rPr>
            <sz val="11"/>
            <color indexed="81"/>
            <rFont val="Tahoma"/>
            <family val="2"/>
          </rPr>
          <t xml:space="preserve"> ist der Oberbegriff für die
1. zeitgleiche und vorzeichengerechte Addition der Lastgangzeitreichen gemäß § 17 Abs. 2a Satz 4 Nr. 1 (Synonyme: Saldierung, Überlagerung, Vektoraddition)
2. zeitgleiche Addition der richtungsgleichen Lastgangzeitreihen gemäß § 17 Abs. 2a Satz 4 Nr. 2 (Synonym: Poolung)
</t>
        </r>
      </text>
    </comment>
    <comment ref="P16" authorId="0" shapeId="0" xr:uid="{00000000-0006-0000-0500-000009000000}">
      <text>
        <r>
          <rPr>
            <b/>
            <sz val="11"/>
            <color indexed="81"/>
            <rFont val="Tahoma"/>
            <family val="2"/>
          </rPr>
          <t>GW:</t>
        </r>
        <r>
          <rPr>
            <sz val="11"/>
            <color indexed="81"/>
            <rFont val="Tahoma"/>
            <family val="2"/>
          </rPr>
          <t xml:space="preserve">
Die Zahlen werden nur zur Verdeutlichung ausgewiesen und haben keinen Nachfolger.</t>
        </r>
      </text>
    </comment>
    <comment ref="P17" authorId="0" shapeId="0" xr:uid="{00000000-0006-0000-0500-00000A000000}">
      <text>
        <r>
          <rPr>
            <b/>
            <sz val="11"/>
            <color indexed="81"/>
            <rFont val="Tahoma"/>
            <family val="2"/>
          </rPr>
          <t>GW:</t>
        </r>
        <r>
          <rPr>
            <sz val="11"/>
            <color indexed="81"/>
            <rFont val="Tahoma"/>
            <family val="2"/>
          </rPr>
          <t xml:space="preserve">
Die Zahlen werden nur zur Verdeutlichung ausgewiesen und haben keinen Nachfolger.
Die erhaltene RSV für Arbeit sollte vollständig an die Einspeiser weitergeben werden. Trifft dies nicht zu erscheint die Zelle rot.
Die erhaltene RSV für Leistung sollte nach dem Anteil der leistungsgemessenen Einspeisern an allen Einspeisern auf Basis des verwendeten Schlüssels an die leistungsgemessenen Einspeiser weitergegeben werden. Trifft dies nicht zu erscheint die Zelle rot.
</t>
        </r>
      </text>
    </comment>
    <comment ref="P19" authorId="0" shapeId="0" xr:uid="{00000000-0006-0000-0500-00000B000000}">
      <text>
        <r>
          <rPr>
            <b/>
            <sz val="11"/>
            <color indexed="81"/>
            <rFont val="Tahoma"/>
            <family val="2"/>
          </rPr>
          <t>GW:</t>
        </r>
        <r>
          <rPr>
            <sz val="11"/>
            <color indexed="81"/>
            <rFont val="Tahoma"/>
            <family val="2"/>
          </rPr>
          <t xml:space="preserve">
Dieser Kasten wird nur benötigt, falls die erhaltene RSV für Leistung nach dem Schlüssel 2 an die Einspeiser weitergegeben wird. Nur in diesem Fall muss der Kasten auch befüllt werden.</t>
        </r>
      </text>
    </comment>
    <comment ref="C20" authorId="0" shapeId="0" xr:uid="{00000000-0006-0000-0500-00000C000000}">
      <text>
        <r>
          <rPr>
            <b/>
            <sz val="11"/>
            <color indexed="81"/>
            <rFont val="Tahoma"/>
            <family val="2"/>
          </rPr>
          <t>GW:</t>
        </r>
        <r>
          <rPr>
            <sz val="11"/>
            <color indexed="81"/>
            <rFont val="Tahoma"/>
            <family val="2"/>
          </rPr>
          <t xml:space="preserve">
Diese Zelle erschein rot, wenn die Rechnung unten zu einem anderen Wert führt.</t>
        </r>
      </text>
    </comment>
    <comment ref="L22" authorId="0" shapeId="0" xr:uid="{00000000-0006-0000-0500-00000D000000}">
      <text>
        <r>
          <rPr>
            <b/>
            <sz val="11"/>
            <color indexed="81"/>
            <rFont val="Segoe UI"/>
            <family val="2"/>
          </rPr>
          <t>GW:</t>
        </r>
        <r>
          <rPr>
            <sz val="11"/>
            <color indexed="81"/>
            <rFont val="Segoe UI"/>
            <family val="2"/>
          </rPr>
          <t xml:space="preserve">
Ein Einspeiser behält auch im Fall eines Netzübergangs sein Referenzpreisblatt. 
Neue Einspeiser nach dem Netzübergang erhalten das Referenzpreisblatt des aktuellen Netzbetreibers (vgl. § 120 Abs. 4 EnWG)</t>
        </r>
      </text>
    </comment>
    <comment ref="M22" authorId="0" shapeId="0" xr:uid="{00000000-0006-0000-0500-00000E000000}">
      <text>
        <r>
          <rPr>
            <b/>
            <sz val="11"/>
            <color indexed="81"/>
            <rFont val="Tahoma"/>
            <family val="2"/>
          </rPr>
          <t>GW:</t>
        </r>
        <r>
          <rPr>
            <sz val="11"/>
            <color indexed="81"/>
            <rFont val="Tahoma"/>
            <family val="2"/>
          </rPr>
          <t xml:space="preserve">
</t>
        </r>
        <r>
          <rPr>
            <u/>
            <sz val="11"/>
            <color indexed="81"/>
            <rFont val="Tahoma"/>
            <family val="2"/>
          </rPr>
          <t>Bezug von der vorgelagerten Netzebene mit mehreren Preisen</t>
        </r>
        <r>
          <rPr>
            <sz val="11"/>
            <color indexed="81"/>
            <rFont val="Tahoma"/>
            <family val="2"/>
          </rPr>
          <t xml:space="preserve">
Gibt es für die vorgelagerte Netzebene mehrere Preise</t>
        </r>
        <r>
          <rPr>
            <u/>
            <sz val="11"/>
            <color indexed="81"/>
            <rFont val="Tahoma"/>
            <family val="2"/>
          </rPr>
          <t>,</t>
        </r>
        <r>
          <rPr>
            <sz val="11"/>
            <color indexed="81"/>
            <rFont val="Tahoma"/>
            <family val="2"/>
          </rPr>
          <t xml:space="preserve"> muss ein gewichteter Durchschnittspreis ermittelt werden. Dies gilt sowohl für das Preisblatt des betrachteten Jahres, als auch für das Referenzpreisblatt. Wurden von der vorgelagerten Netzebene die Mengen m</t>
        </r>
        <r>
          <rPr>
            <vertAlign val="subscript"/>
            <sz val="11"/>
            <color indexed="81"/>
            <rFont val="Tahoma"/>
            <family val="2"/>
          </rPr>
          <t>1</t>
        </r>
        <r>
          <rPr>
            <sz val="11"/>
            <color indexed="81"/>
            <rFont val="Tahoma"/>
            <family val="2"/>
          </rPr>
          <t>, m</t>
        </r>
        <r>
          <rPr>
            <vertAlign val="subscript"/>
            <sz val="11"/>
            <color indexed="81"/>
            <rFont val="Tahoma"/>
            <family val="2"/>
          </rPr>
          <t>2</t>
        </r>
        <r>
          <rPr>
            <sz val="11"/>
            <color indexed="81"/>
            <rFont val="Tahoma"/>
            <family val="2"/>
          </rPr>
          <t>, ... mit den Preisen p</t>
        </r>
        <r>
          <rPr>
            <vertAlign val="subscript"/>
            <sz val="11"/>
            <color indexed="81"/>
            <rFont val="Tahoma"/>
            <family val="2"/>
          </rPr>
          <t>1</t>
        </r>
        <r>
          <rPr>
            <sz val="11"/>
            <color indexed="81"/>
            <rFont val="Tahoma"/>
            <family val="2"/>
          </rPr>
          <t>, p</t>
        </r>
        <r>
          <rPr>
            <vertAlign val="subscript"/>
            <sz val="11"/>
            <color indexed="81"/>
            <rFont val="Tahoma"/>
            <family val="2"/>
          </rPr>
          <t>2</t>
        </r>
        <r>
          <rPr>
            <sz val="11"/>
            <color indexed="81"/>
            <rFont val="Tahoma"/>
            <family val="2"/>
          </rPr>
          <t>, ... bezogen ergibt sich der gewichtete Durchschnittspreis zu
(m</t>
        </r>
        <r>
          <rPr>
            <vertAlign val="subscript"/>
            <sz val="11"/>
            <color indexed="81"/>
            <rFont val="Tahoma"/>
            <family val="2"/>
          </rPr>
          <t>1</t>
        </r>
        <r>
          <rPr>
            <sz val="11"/>
            <color indexed="81"/>
            <rFont val="Tahoma"/>
            <family val="2"/>
          </rPr>
          <t>*p</t>
        </r>
        <r>
          <rPr>
            <vertAlign val="subscript"/>
            <sz val="11"/>
            <color indexed="81"/>
            <rFont val="Tahoma"/>
            <family val="2"/>
          </rPr>
          <t>1</t>
        </r>
        <r>
          <rPr>
            <sz val="11"/>
            <color indexed="81"/>
            <rFont val="Tahoma"/>
            <family val="2"/>
          </rPr>
          <t>+m</t>
        </r>
        <r>
          <rPr>
            <vertAlign val="subscript"/>
            <sz val="11"/>
            <color indexed="81"/>
            <rFont val="Tahoma"/>
            <family val="2"/>
          </rPr>
          <t>2</t>
        </r>
        <r>
          <rPr>
            <sz val="11"/>
            <color indexed="81"/>
            <rFont val="Tahoma"/>
            <family val="2"/>
          </rPr>
          <t>*p</t>
        </r>
        <r>
          <rPr>
            <vertAlign val="subscript"/>
            <sz val="11"/>
            <color indexed="81"/>
            <rFont val="Tahoma"/>
            <family val="2"/>
          </rPr>
          <t>2</t>
        </r>
        <r>
          <rPr>
            <sz val="11"/>
            <color indexed="81"/>
            <rFont val="Tahoma"/>
            <family val="2"/>
          </rPr>
          <t>+⋯) / (m</t>
        </r>
        <r>
          <rPr>
            <vertAlign val="subscript"/>
            <sz val="11"/>
            <color indexed="81"/>
            <rFont val="Tahoma"/>
            <family val="2"/>
          </rPr>
          <t>1</t>
        </r>
        <r>
          <rPr>
            <sz val="11"/>
            <color indexed="81"/>
            <rFont val="Tahoma"/>
            <family val="2"/>
          </rPr>
          <t>+m</t>
        </r>
        <r>
          <rPr>
            <vertAlign val="subscript"/>
            <sz val="11"/>
            <color indexed="81"/>
            <rFont val="Tahoma"/>
            <family val="2"/>
          </rPr>
          <t>2</t>
        </r>
        <r>
          <rPr>
            <sz val="11"/>
            <color indexed="81"/>
            <rFont val="Tahoma"/>
            <family val="2"/>
          </rPr>
          <t>+⋯)=m</t>
        </r>
        <r>
          <rPr>
            <vertAlign val="subscript"/>
            <sz val="11"/>
            <color indexed="81"/>
            <rFont val="Tahoma"/>
            <family val="2"/>
          </rPr>
          <t>1</t>
        </r>
        <r>
          <rPr>
            <sz val="11"/>
            <color indexed="81"/>
            <rFont val="Tahoma"/>
            <family val="2"/>
          </rPr>
          <t>/(m</t>
        </r>
        <r>
          <rPr>
            <vertAlign val="subscript"/>
            <sz val="11"/>
            <color indexed="81"/>
            <rFont val="Tahoma"/>
            <family val="2"/>
          </rPr>
          <t>1</t>
        </r>
        <r>
          <rPr>
            <sz val="11"/>
            <color indexed="81"/>
            <rFont val="Tahoma"/>
            <family val="2"/>
          </rPr>
          <t>+m</t>
        </r>
        <r>
          <rPr>
            <vertAlign val="subscript"/>
            <sz val="11"/>
            <color indexed="81"/>
            <rFont val="Tahoma"/>
            <family val="2"/>
          </rPr>
          <t>2</t>
        </r>
        <r>
          <rPr>
            <sz val="11"/>
            <color indexed="81"/>
            <rFont val="Tahoma"/>
            <family val="2"/>
          </rPr>
          <t>+⋯) * p</t>
        </r>
        <r>
          <rPr>
            <vertAlign val="subscript"/>
            <sz val="11"/>
            <color indexed="81"/>
            <rFont val="Tahoma"/>
            <family val="2"/>
          </rPr>
          <t xml:space="preserve">1 </t>
        </r>
        <r>
          <rPr>
            <sz val="11"/>
            <color indexed="81"/>
            <rFont val="Tahoma"/>
            <family val="2"/>
          </rPr>
          <t>+ m</t>
        </r>
        <r>
          <rPr>
            <vertAlign val="subscript"/>
            <sz val="11"/>
            <color indexed="81"/>
            <rFont val="Tahoma"/>
            <family val="2"/>
          </rPr>
          <t>2</t>
        </r>
        <r>
          <rPr>
            <sz val="11"/>
            <color indexed="81"/>
            <rFont val="Tahoma"/>
            <family val="2"/>
          </rPr>
          <t>/(m</t>
        </r>
        <r>
          <rPr>
            <vertAlign val="subscript"/>
            <sz val="11"/>
            <color indexed="81"/>
            <rFont val="Tahoma"/>
            <family val="2"/>
          </rPr>
          <t>1</t>
        </r>
        <r>
          <rPr>
            <sz val="11"/>
            <color indexed="81"/>
            <rFont val="Tahoma"/>
            <family val="2"/>
          </rPr>
          <t>+m</t>
        </r>
        <r>
          <rPr>
            <vertAlign val="subscript"/>
            <sz val="11"/>
            <color indexed="81"/>
            <rFont val="Tahoma"/>
            <family val="2"/>
          </rPr>
          <t>2</t>
        </r>
        <r>
          <rPr>
            <sz val="11"/>
            <color indexed="81"/>
            <rFont val="Tahoma"/>
            <family val="2"/>
          </rPr>
          <t>+⋯) * p</t>
        </r>
        <r>
          <rPr>
            <vertAlign val="subscript"/>
            <sz val="11"/>
            <color indexed="81"/>
            <rFont val="Tahoma"/>
            <family val="2"/>
          </rPr>
          <t>2</t>
        </r>
        <r>
          <rPr>
            <sz val="11"/>
            <color indexed="81"/>
            <rFont val="Tahoma"/>
            <family val="2"/>
          </rPr>
          <t xml:space="preserve"> +⋯
Im Fall mehrerer Preise für die vorgelagere Netzebene ändert sich das Referenzpreisblatt von Jahr zu Jahr, da sich die Gewichtung der zugrunde zu legenden Referenzpreisblätter von Jahr zu Jahr ändert.
</t>
        </r>
        <r>
          <rPr>
            <u/>
            <sz val="11"/>
            <color indexed="81"/>
            <rFont val="Tahoma"/>
            <family val="2"/>
          </rPr>
          <t>Pancaking (Bezug von dergleichen Netzebene)</t>
        </r>
        <r>
          <rPr>
            <sz val="11"/>
            <color indexed="81"/>
            <rFont val="Tahoma"/>
            <family val="2"/>
          </rPr>
          <t xml:space="preserve">
Es </t>
        </r>
        <r>
          <rPr>
            <i/>
            <sz val="11"/>
            <color indexed="81"/>
            <rFont val="Tahoma"/>
            <family val="2"/>
          </rPr>
          <t>können</t>
        </r>
        <r>
          <rPr>
            <sz val="11"/>
            <color indexed="81"/>
            <rFont val="Tahoma"/>
            <family val="2"/>
          </rPr>
          <t xml:space="preserve"> auch dann die Referenzpreise des vorgelagerten Netzes herangezogen werden, wenn die vorgelagerte Ebene und die Einspeiseebene identisch sind  (Hinweise der BNetzA für Verteilernetzbetreiber zur Anpassung der Erlösobergrenze für 2019, dort Punkt 11.2.4). 
Aus Gründen der Gleichbehandlung </t>
        </r>
        <r>
          <rPr>
            <i/>
            <sz val="11"/>
            <color indexed="81"/>
            <rFont val="Tahoma"/>
            <family val="2"/>
          </rPr>
          <t>sind</t>
        </r>
        <r>
          <rPr>
            <sz val="11"/>
            <color indexed="81"/>
            <rFont val="Tahoma"/>
            <family val="2"/>
          </rPr>
          <t xml:space="preserve"> m. E. 
- immer die Netzentgelte des vorgelagerten Netzes heranzuziehen, auch wenn die vorgelagerte Ebene und die Einspeiseebene identisch sind.
- die tatsächlich gezahlten Netzentgelte heranzuziehen, auch wenn den Einspeisern ein eventuell vorliegender Rabatt auf die regulären vorgelagerten Netzentgelten infolge einer Pancaking-Vereinbarung nicht bekannt ist.
Ein Rabatt auf die regulären vorgelagerten Netzentgelte ist auf das Referenzpreisblatt zu übertragen.
</t>
        </r>
        <r>
          <rPr>
            <u/>
            <sz val="11"/>
            <color indexed="81"/>
            <rFont val="Tahoma"/>
            <family val="2"/>
          </rPr>
          <t>Bezug von der vorgelagerten und von dergleichen Netzebene</t>
        </r>
        <r>
          <rPr>
            <sz val="11"/>
            <color indexed="81"/>
            <rFont val="Tahoma"/>
            <family val="2"/>
          </rPr>
          <t xml:space="preserve">
Auch beim Bezug von der vorgelagerten und von dergleichen Netzebene via Pancaking ist wie beim Bezug von der vorgelagerten Netzebene mit mehreren Preisen ein gewichteter Durchschnittspreis zu bilden. In den Durchschnittspreis gehen die Preise von verschiedenen Netzebenen ein.
Auch wenn tatsächlich mit dem </t>
        </r>
        <r>
          <rPr>
            <u/>
            <sz val="11"/>
            <color indexed="81"/>
            <rFont val="Tahoma"/>
            <family val="2"/>
          </rPr>
          <t>Preis kleiner 2.500 h</t>
        </r>
        <r>
          <rPr>
            <sz val="11"/>
            <color indexed="81"/>
            <rFont val="Tahoma"/>
            <family val="2"/>
          </rPr>
          <t xml:space="preserve"> bezogen wird, ist der Preis über 2.500 h heranzuziehen (Hinweise der BNetzA für Verteilernetzbetreiber zur Anpassung der Erlösobergrenze für 2019, dort Punkt 11.2.1).
</t>
        </r>
      </text>
    </comment>
    <comment ref="N22" authorId="0" shapeId="0" xr:uid="{00000000-0006-0000-0500-00000F000000}">
      <text>
        <r>
          <rPr>
            <b/>
            <sz val="11"/>
            <color indexed="81"/>
            <rFont val="Tahoma"/>
            <family val="2"/>
          </rPr>
          <t>GW:</t>
        </r>
        <r>
          <rPr>
            <sz val="11"/>
            <color indexed="81"/>
            <rFont val="Tahoma"/>
            <family val="2"/>
          </rPr>
          <t xml:space="preserve">
</t>
        </r>
        <r>
          <rPr>
            <u/>
            <sz val="11"/>
            <color indexed="81"/>
            <rFont val="Tahoma"/>
            <family val="2"/>
          </rPr>
          <t>Bezug von der vorgelagerten Netzebene mit mehreren Preisen</t>
        </r>
        <r>
          <rPr>
            <sz val="11"/>
            <color indexed="81"/>
            <rFont val="Tahoma"/>
            <family val="2"/>
          </rPr>
          <t xml:space="preserve">
Gibt es für die vorgelagerte Netzebene mehrere Preise</t>
        </r>
        <r>
          <rPr>
            <u/>
            <sz val="11"/>
            <color indexed="81"/>
            <rFont val="Tahoma"/>
            <family val="2"/>
          </rPr>
          <t>,</t>
        </r>
        <r>
          <rPr>
            <sz val="11"/>
            <color indexed="81"/>
            <rFont val="Tahoma"/>
            <family val="2"/>
          </rPr>
          <t xml:space="preserve"> muss ein gewichteter Durchschnittspreis ermittelt werden. Dies gilt sowohl für das Preisblatt des betrachteten Jahres, als auch für das Referenzpreisblatt. Wurden von der vorgelagerten Netzebene die Mengen m</t>
        </r>
        <r>
          <rPr>
            <vertAlign val="subscript"/>
            <sz val="11"/>
            <color indexed="81"/>
            <rFont val="Tahoma"/>
            <family val="2"/>
          </rPr>
          <t>1</t>
        </r>
        <r>
          <rPr>
            <sz val="11"/>
            <color indexed="81"/>
            <rFont val="Tahoma"/>
            <family val="2"/>
          </rPr>
          <t>, m</t>
        </r>
        <r>
          <rPr>
            <vertAlign val="subscript"/>
            <sz val="11"/>
            <color indexed="81"/>
            <rFont val="Tahoma"/>
            <family val="2"/>
          </rPr>
          <t>2</t>
        </r>
        <r>
          <rPr>
            <sz val="11"/>
            <color indexed="81"/>
            <rFont val="Tahoma"/>
            <family val="2"/>
          </rPr>
          <t>, ... mit den Preisen p</t>
        </r>
        <r>
          <rPr>
            <vertAlign val="subscript"/>
            <sz val="11"/>
            <color indexed="81"/>
            <rFont val="Tahoma"/>
            <family val="2"/>
          </rPr>
          <t>1</t>
        </r>
        <r>
          <rPr>
            <sz val="11"/>
            <color indexed="81"/>
            <rFont val="Tahoma"/>
            <family val="2"/>
          </rPr>
          <t>, p</t>
        </r>
        <r>
          <rPr>
            <vertAlign val="subscript"/>
            <sz val="11"/>
            <color indexed="81"/>
            <rFont val="Tahoma"/>
            <family val="2"/>
          </rPr>
          <t>2</t>
        </r>
        <r>
          <rPr>
            <sz val="11"/>
            <color indexed="81"/>
            <rFont val="Tahoma"/>
            <family val="2"/>
          </rPr>
          <t>, ... bezogen ergibt sich der gewichtete Durchschnittspreis zu
(m</t>
        </r>
        <r>
          <rPr>
            <vertAlign val="subscript"/>
            <sz val="11"/>
            <color indexed="81"/>
            <rFont val="Tahoma"/>
            <family val="2"/>
          </rPr>
          <t>1</t>
        </r>
        <r>
          <rPr>
            <sz val="11"/>
            <color indexed="81"/>
            <rFont val="Tahoma"/>
            <family val="2"/>
          </rPr>
          <t>*p</t>
        </r>
        <r>
          <rPr>
            <vertAlign val="subscript"/>
            <sz val="11"/>
            <color indexed="81"/>
            <rFont val="Tahoma"/>
            <family val="2"/>
          </rPr>
          <t>1</t>
        </r>
        <r>
          <rPr>
            <sz val="11"/>
            <color indexed="81"/>
            <rFont val="Tahoma"/>
            <family val="2"/>
          </rPr>
          <t>+m</t>
        </r>
        <r>
          <rPr>
            <vertAlign val="subscript"/>
            <sz val="11"/>
            <color indexed="81"/>
            <rFont val="Tahoma"/>
            <family val="2"/>
          </rPr>
          <t>2</t>
        </r>
        <r>
          <rPr>
            <sz val="11"/>
            <color indexed="81"/>
            <rFont val="Tahoma"/>
            <family val="2"/>
          </rPr>
          <t>*p</t>
        </r>
        <r>
          <rPr>
            <vertAlign val="subscript"/>
            <sz val="11"/>
            <color indexed="81"/>
            <rFont val="Tahoma"/>
            <family val="2"/>
          </rPr>
          <t>2</t>
        </r>
        <r>
          <rPr>
            <sz val="11"/>
            <color indexed="81"/>
            <rFont val="Tahoma"/>
            <family val="2"/>
          </rPr>
          <t>+⋯) / (m</t>
        </r>
        <r>
          <rPr>
            <vertAlign val="subscript"/>
            <sz val="11"/>
            <color indexed="81"/>
            <rFont val="Tahoma"/>
            <family val="2"/>
          </rPr>
          <t>1</t>
        </r>
        <r>
          <rPr>
            <sz val="11"/>
            <color indexed="81"/>
            <rFont val="Tahoma"/>
            <family val="2"/>
          </rPr>
          <t>+m</t>
        </r>
        <r>
          <rPr>
            <vertAlign val="subscript"/>
            <sz val="11"/>
            <color indexed="81"/>
            <rFont val="Tahoma"/>
            <family val="2"/>
          </rPr>
          <t>2</t>
        </r>
        <r>
          <rPr>
            <sz val="11"/>
            <color indexed="81"/>
            <rFont val="Tahoma"/>
            <family val="2"/>
          </rPr>
          <t>+⋯)=m</t>
        </r>
        <r>
          <rPr>
            <vertAlign val="subscript"/>
            <sz val="11"/>
            <color indexed="81"/>
            <rFont val="Tahoma"/>
            <family val="2"/>
          </rPr>
          <t>1</t>
        </r>
        <r>
          <rPr>
            <sz val="11"/>
            <color indexed="81"/>
            <rFont val="Tahoma"/>
            <family val="2"/>
          </rPr>
          <t>/(m</t>
        </r>
        <r>
          <rPr>
            <vertAlign val="subscript"/>
            <sz val="11"/>
            <color indexed="81"/>
            <rFont val="Tahoma"/>
            <family val="2"/>
          </rPr>
          <t>1</t>
        </r>
        <r>
          <rPr>
            <sz val="11"/>
            <color indexed="81"/>
            <rFont val="Tahoma"/>
            <family val="2"/>
          </rPr>
          <t>+m</t>
        </r>
        <r>
          <rPr>
            <vertAlign val="subscript"/>
            <sz val="11"/>
            <color indexed="81"/>
            <rFont val="Tahoma"/>
            <family val="2"/>
          </rPr>
          <t>2</t>
        </r>
        <r>
          <rPr>
            <sz val="11"/>
            <color indexed="81"/>
            <rFont val="Tahoma"/>
            <family val="2"/>
          </rPr>
          <t>+⋯) * p</t>
        </r>
        <r>
          <rPr>
            <vertAlign val="subscript"/>
            <sz val="11"/>
            <color indexed="81"/>
            <rFont val="Tahoma"/>
            <family val="2"/>
          </rPr>
          <t xml:space="preserve">1 </t>
        </r>
        <r>
          <rPr>
            <sz val="11"/>
            <color indexed="81"/>
            <rFont val="Tahoma"/>
            <family val="2"/>
          </rPr>
          <t>+ m</t>
        </r>
        <r>
          <rPr>
            <vertAlign val="subscript"/>
            <sz val="11"/>
            <color indexed="81"/>
            <rFont val="Tahoma"/>
            <family val="2"/>
          </rPr>
          <t>2</t>
        </r>
        <r>
          <rPr>
            <sz val="11"/>
            <color indexed="81"/>
            <rFont val="Tahoma"/>
            <family val="2"/>
          </rPr>
          <t>/(m</t>
        </r>
        <r>
          <rPr>
            <vertAlign val="subscript"/>
            <sz val="11"/>
            <color indexed="81"/>
            <rFont val="Tahoma"/>
            <family val="2"/>
          </rPr>
          <t>1</t>
        </r>
        <r>
          <rPr>
            <sz val="11"/>
            <color indexed="81"/>
            <rFont val="Tahoma"/>
            <family val="2"/>
          </rPr>
          <t>+m</t>
        </r>
        <r>
          <rPr>
            <vertAlign val="subscript"/>
            <sz val="11"/>
            <color indexed="81"/>
            <rFont val="Tahoma"/>
            <family val="2"/>
          </rPr>
          <t>2</t>
        </r>
        <r>
          <rPr>
            <sz val="11"/>
            <color indexed="81"/>
            <rFont val="Tahoma"/>
            <family val="2"/>
          </rPr>
          <t>+⋯) * p</t>
        </r>
        <r>
          <rPr>
            <vertAlign val="subscript"/>
            <sz val="11"/>
            <color indexed="81"/>
            <rFont val="Tahoma"/>
            <family val="2"/>
          </rPr>
          <t>2</t>
        </r>
        <r>
          <rPr>
            <sz val="11"/>
            <color indexed="81"/>
            <rFont val="Tahoma"/>
            <family val="2"/>
          </rPr>
          <t xml:space="preserve"> +⋯
Im Fall mehrerer Preise für die vorgelagere Netzebene ändert sich das Referenzpreisblatt von Jahr zu Jahr, da sich die Gewichtung der zugrunde zu legenden Referenzpreisblätter von Jahr zu Jahr ändert.
</t>
        </r>
        <r>
          <rPr>
            <u/>
            <sz val="11"/>
            <color indexed="81"/>
            <rFont val="Tahoma"/>
            <family val="2"/>
          </rPr>
          <t>Pancaking (Bezug von dergleichen Netzebene)</t>
        </r>
        <r>
          <rPr>
            <sz val="11"/>
            <color indexed="81"/>
            <rFont val="Tahoma"/>
            <family val="2"/>
          </rPr>
          <t xml:space="preserve">
Es </t>
        </r>
        <r>
          <rPr>
            <i/>
            <sz val="11"/>
            <color indexed="81"/>
            <rFont val="Tahoma"/>
            <family val="2"/>
          </rPr>
          <t>können</t>
        </r>
        <r>
          <rPr>
            <sz val="11"/>
            <color indexed="81"/>
            <rFont val="Tahoma"/>
            <family val="2"/>
          </rPr>
          <t xml:space="preserve"> auch dann die Referenzpreise des vorgelagerten Netzes herangezogen werden, wenn die vorgelagerte Ebene und die Einspeiseebene identisch sind  (Hinweise der BNetzA für Verteilernetzbetreiber zur Anpassung der Erlösobergrenze für 2019, dort Punkt 11.2.4). 
Aus Gründen der Gleichbehandlung </t>
        </r>
        <r>
          <rPr>
            <i/>
            <sz val="11"/>
            <color indexed="81"/>
            <rFont val="Tahoma"/>
            <family val="2"/>
          </rPr>
          <t>sind</t>
        </r>
        <r>
          <rPr>
            <sz val="11"/>
            <color indexed="81"/>
            <rFont val="Tahoma"/>
            <family val="2"/>
          </rPr>
          <t xml:space="preserve"> m. E. 
- immer die Netzentgelte des vorgelagerten Netzes heranzuziehen, auch wenn die vorgelagerte Ebene und die Einspeiseebene identisch sind.
- die tatsächlich gezahlten Netzentgelte heranzuziehen, auch wenn den Einspeisern ein eventuell vorliegender Rabatt auf die regulären vorgelagerten Netzentgelten infolge einer Pancaking-Vereinbarung nicht bekannt ist.
Ein Rabatt auf die regulären vorgelagerten Netzentgelte ist auf das Referenzpreisblatt zu übertragen.
</t>
        </r>
        <r>
          <rPr>
            <u/>
            <sz val="11"/>
            <color indexed="81"/>
            <rFont val="Tahoma"/>
            <family val="2"/>
          </rPr>
          <t>Bezug von der vorgelagerten und von dergleichen Netzebene</t>
        </r>
        <r>
          <rPr>
            <sz val="11"/>
            <color indexed="81"/>
            <rFont val="Tahoma"/>
            <family val="2"/>
          </rPr>
          <t xml:space="preserve">
Auch beim Bezug von der vorgelagerten und von dergleichen Netzebene via Pancaking ist wie beim Bezug von der vorgelagerten Netzebene mit mehreren Preisen ein gewichteter Durchschnittspreis zu bilden. In den Durchschnittspreis gehen die Preise von verschiedenen Netzebenen ein.
Auch wenn tatsächlich mit dem </t>
        </r>
        <r>
          <rPr>
            <u/>
            <sz val="11"/>
            <color indexed="81"/>
            <rFont val="Tahoma"/>
            <family val="2"/>
          </rPr>
          <t>Preis kleiner 2.500 h</t>
        </r>
        <r>
          <rPr>
            <sz val="11"/>
            <color indexed="81"/>
            <rFont val="Tahoma"/>
            <family val="2"/>
          </rPr>
          <t xml:space="preserve"> bezogen wird, ist der Preis über 2.500 h heranzuziehen (Hinweise der BNetzA für Verteilernetzbetreiber zur Anpassung der Erlösobergrenze für 2019, dort Punkt 11.2.1).
</t>
        </r>
      </text>
    </comment>
    <comment ref="C28" authorId="0" shapeId="0" xr:uid="{00000000-0006-0000-0500-000010000000}">
      <text>
        <r>
          <rPr>
            <b/>
            <sz val="11"/>
            <color indexed="81"/>
            <rFont val="Tahoma"/>
            <family val="2"/>
          </rPr>
          <t>GW:</t>
        </r>
        <r>
          <rPr>
            <sz val="11"/>
            <color indexed="81"/>
            <rFont val="Tahoma"/>
            <family val="2"/>
          </rPr>
          <t xml:space="preserve">
Das Verfahren im VDN-Leitfaden sieht einen (einheitlichen) Anteilsfaktor </t>
        </r>
        <r>
          <rPr>
            <i/>
            <sz val="11"/>
            <color indexed="81"/>
            <rFont val="Tahoma"/>
            <family val="2"/>
          </rPr>
          <t>a</t>
        </r>
        <r>
          <rPr>
            <sz val="11"/>
            <color indexed="81"/>
            <rFont val="Tahoma"/>
            <family val="2"/>
          </rPr>
          <t xml:space="preserve"> (= </t>
        </r>
        <r>
          <rPr>
            <i/>
            <sz val="11"/>
            <color indexed="81"/>
            <rFont val="Tahoma"/>
            <family val="2"/>
          </rPr>
          <t>a</t>
        </r>
        <r>
          <rPr>
            <i/>
            <vertAlign val="superscript"/>
            <sz val="11"/>
            <color indexed="81"/>
            <rFont val="Tahoma"/>
            <family val="2"/>
          </rPr>
          <t>L</t>
        </r>
        <r>
          <rPr>
            <sz val="11"/>
            <color indexed="81"/>
            <rFont val="Tahoma"/>
            <family val="2"/>
          </rPr>
          <t xml:space="preserve"> = </t>
        </r>
        <r>
          <rPr>
            <i/>
            <sz val="11"/>
            <color indexed="81"/>
            <rFont val="Tahoma"/>
            <family val="2"/>
          </rPr>
          <t>a</t>
        </r>
        <r>
          <rPr>
            <i/>
            <vertAlign val="superscript"/>
            <sz val="11"/>
            <color indexed="81"/>
            <rFont val="Tahoma"/>
            <family val="2"/>
          </rPr>
          <t>nL</t>
        </r>
        <r>
          <rPr>
            <sz val="11"/>
            <color indexed="81"/>
            <rFont val="Tahoma"/>
            <family val="2"/>
          </rPr>
          <t xml:space="preserve">) vor, der die verstetige Leistung der leistungsgemessenen Einspeiser mit verstetigter Bewertung und die verstetigte Leistung der nicht leistungsgemessenen Einspeisern so umrechnet, dass sich der für diese Einspeiser ergebende Leistungswert zum Zeitpunkt </t>
        </r>
        <r>
          <rPr>
            <i/>
            <sz val="11"/>
            <color indexed="81"/>
            <rFont val="Tahoma"/>
            <family val="2"/>
          </rPr>
          <t>t</t>
        </r>
        <r>
          <rPr>
            <i/>
            <vertAlign val="subscript"/>
            <sz val="11"/>
            <color indexed="81"/>
            <rFont val="Tahoma"/>
            <family val="2"/>
          </rPr>
          <t>E</t>
        </r>
        <r>
          <rPr>
            <i/>
            <sz val="11"/>
            <color indexed="81"/>
            <rFont val="Tahoma"/>
            <family val="2"/>
          </rPr>
          <t xml:space="preserve"> </t>
        </r>
        <r>
          <rPr>
            <sz val="11"/>
            <color indexed="81"/>
            <rFont val="Tahoma"/>
            <family val="2"/>
          </rPr>
          <t>ergibt.
Verursachungsgerechter ist es, die Gruppe der leistungsgemessenen Einspeiser mit verstetigter Bewertung und die Gruppe der nicht leistungsgemessenen Einspeiser getrennt zu betrachten und für beide Gruppen jeweils einen Anteilsfaktor zu bestimmen. Im Ergebnis kommt es dann nur auf den Anteilsfaktor für leistungsgemessene Einspeiser mit verstetigter Bewertung an. Die verstetigte Leistung der nicht leistungsgemessenen Einspeiser multipliziert mit dem Anteilsfaktor für nicht leistungsgemessene Einspeiser wird nämlich nach § 18 Abs. 3 Satz 3 StromNEV nicht vergütet. 
Bei diesem Verfahren entfallen auf die Gruppe der leistungsgemessenen Einspeiser immer dieselben vermNE, unabhängig davon, wie viele leistungsgemessene Einspeiser eine Verstetigung wählen. Gibt es nur einen leistungsgemessenen Einspeiser mit verstetigter Bewertung, sind die rechnerische Leistung zum Zeitpunkt</t>
        </r>
        <r>
          <rPr>
            <i/>
            <sz val="11"/>
            <color indexed="81"/>
            <rFont val="Tahoma"/>
            <family val="2"/>
          </rPr>
          <t xml:space="preserve"> t</t>
        </r>
        <r>
          <rPr>
            <i/>
            <vertAlign val="subscript"/>
            <sz val="11"/>
            <color indexed="81"/>
            <rFont val="Tahoma"/>
            <family val="2"/>
          </rPr>
          <t>E</t>
        </r>
        <r>
          <rPr>
            <sz val="11"/>
            <color indexed="81"/>
            <rFont val="Tahoma"/>
            <family val="2"/>
          </rPr>
          <t xml:space="preserve"> und die gemessene Leistung zum Zeitpunkt </t>
        </r>
        <r>
          <rPr>
            <i/>
            <sz val="11"/>
            <color indexed="81"/>
            <rFont val="Tahoma"/>
            <family val="2"/>
          </rPr>
          <t>t</t>
        </r>
        <r>
          <rPr>
            <i/>
            <vertAlign val="subscript"/>
            <sz val="11"/>
            <color indexed="81"/>
            <rFont val="Tahoma"/>
            <family val="2"/>
          </rPr>
          <t>E</t>
        </r>
        <r>
          <rPr>
            <sz val="11"/>
            <color indexed="81"/>
            <rFont val="Tahoma"/>
            <family val="2"/>
          </rPr>
          <t xml:space="preserve"> identisch.
Dieses Tool unterstützt nur (noch) das verursachungsgerechte Verfahren mit 2 Anteilsfaktoren. </t>
        </r>
      </text>
    </comment>
    <comment ref="G28" authorId="0" shapeId="0" xr:uid="{00000000-0006-0000-0500-000011000000}">
      <text>
        <r>
          <rPr>
            <b/>
            <sz val="11"/>
            <color indexed="81"/>
            <rFont val="Segoe UI"/>
            <family val="2"/>
          </rPr>
          <t>GW:</t>
        </r>
        <r>
          <rPr>
            <sz val="11"/>
            <color indexed="81"/>
            <rFont val="Segoe UI"/>
            <family val="2"/>
          </rPr>
          <t xml:space="preserve">
§ 120 Abs. 4 EnWG: </t>
        </r>
        <r>
          <rPr>
            <vertAlign val="superscript"/>
            <sz val="11"/>
            <color indexed="81"/>
            <rFont val="Segoe UI"/>
            <family val="2"/>
          </rPr>
          <t>1</t>
        </r>
        <r>
          <rPr>
            <sz val="11"/>
            <color indexed="81"/>
            <rFont val="Segoe UI"/>
            <family val="2"/>
          </rPr>
          <t xml:space="preserve">Bei der Ermittlung der Entgelte für dezentrale Einspeisungen, die für den Zeitraum ab dem 1. Januar 2018 gezahlt werden, sind als Obergrenze diejenigen Netzentgelte der vorgelagerten Netz- oder Umspannebene zugrunde zu legen, die für diese Netz- oder Umspannebene am 31. Dezember 2016 anzuwenden waren. </t>
        </r>
        <r>
          <rPr>
            <vertAlign val="superscript"/>
            <sz val="11"/>
            <color indexed="81"/>
            <rFont val="Segoe UI"/>
            <family val="2"/>
          </rPr>
          <t>2</t>
        </r>
        <r>
          <rPr>
            <sz val="11"/>
            <color indexed="81"/>
            <rFont val="Segoe UI"/>
            <family val="2"/>
          </rPr>
          <t xml:space="preserve">Satz 1 ist auch für Erzeugungsanlagen anzuwenden, die nach dem 31. Dezember 2016 in Betrieb genommen worden sind oder werden.
§ 120 Abs. 5 Sätze 1 und 2 EnWG: </t>
        </r>
        <r>
          <rPr>
            <vertAlign val="superscript"/>
            <sz val="11"/>
            <color indexed="81"/>
            <rFont val="Segoe UI"/>
            <family val="2"/>
          </rPr>
          <t>1</t>
        </r>
        <r>
          <rPr>
            <sz val="11"/>
            <color indexed="81"/>
            <rFont val="Segoe UI"/>
            <family val="2"/>
          </rPr>
          <t xml:space="preserve">Bei der Ermittlung der Obergrenzen nach Absatz 4 sind ab dem 1. Januar 2018 von den Erlösobergrenzen der jeweiligen Übertragungsnetzbetreiber, so wie sie den jeweiligen Netzentgelten für das Kalenderjahr 2016 zugrunde lagen, die Kostenbestandteile nach § 17d Absatz 7 dieses Gesetzes und § 2 Absatz 5 des Energieleitungsausbaugesetzes in der bis zum Ablauf des 28. Dezember 2023 geltenden Fassung in Abzug zu bringen, die in die Netzentgelte eingeflossen sind. </t>
        </r>
        <r>
          <rPr>
            <vertAlign val="superscript"/>
            <sz val="11"/>
            <color indexed="81"/>
            <rFont val="Segoe UI"/>
            <family val="2"/>
          </rPr>
          <t>2</t>
        </r>
        <r>
          <rPr>
            <sz val="11"/>
            <color indexed="81"/>
            <rFont val="Segoe UI"/>
            <family val="2"/>
          </rPr>
          <t>Für die Zwecke der Berechnungsgrundlage zur Ermittlung der Entgelte für dezentrale Einspeisungen sind die Netzentgelte für das Kalenderjahr 2016 auf dieser Grundlage neu zu berechnen.</t>
        </r>
      </text>
    </comment>
    <comment ref="C29" authorId="0" shapeId="0" xr:uid="{00000000-0006-0000-0500-000012000000}">
      <text>
        <r>
          <rPr>
            <b/>
            <sz val="11"/>
            <color indexed="81"/>
            <rFont val="Tahoma"/>
            <family val="2"/>
          </rPr>
          <t>GW:</t>
        </r>
        <r>
          <rPr>
            <sz val="11"/>
            <color indexed="81"/>
            <rFont val="Tahoma"/>
            <family val="2"/>
          </rPr>
          <t xml:space="preserve">
0 ≤ </t>
        </r>
        <r>
          <rPr>
            <i/>
            <sz val="11"/>
            <color indexed="81"/>
            <rFont val="Tahoma"/>
            <family val="2"/>
          </rPr>
          <t>a</t>
        </r>
        <r>
          <rPr>
            <sz val="11"/>
            <color indexed="81"/>
            <rFont val="Tahoma"/>
            <family val="2"/>
          </rPr>
          <t xml:space="preserve">, der Anteilsfaktor kann insbesonder auch größer als 1 sein.
</t>
        </r>
      </text>
    </comment>
    <comment ref="T29" authorId="1" shapeId="0" xr:uid="{00000000-0006-0000-0500-000013000000}">
      <text>
        <r>
          <rPr>
            <b/>
            <sz val="11"/>
            <color indexed="81"/>
            <rFont val="Segoe UI"/>
            <family val="2"/>
          </rPr>
          <t xml:space="preserve">Auburger, Kilian (Reg </t>
        </r>
        <r>
          <rPr>
            <b/>
            <sz val="11"/>
            <color indexed="81"/>
            <rFont val="Tahoma"/>
            <family val="2"/>
          </rPr>
          <t>Oberpfalz):</t>
        </r>
        <r>
          <rPr>
            <sz val="11"/>
            <color indexed="81"/>
            <rFont val="Tahoma"/>
            <family val="2"/>
          </rPr>
          <t xml:space="preserve">
Siehe Kasten zur Netzreservekapazität (NRK) im Register "Allgemeines".</t>
        </r>
      </text>
    </comment>
    <comment ref="C30" authorId="0" shapeId="0" xr:uid="{00000000-0006-0000-0500-000014000000}">
      <text>
        <r>
          <rPr>
            <b/>
            <sz val="11"/>
            <color indexed="81"/>
            <rFont val="Tahoma"/>
            <family val="2"/>
          </rPr>
          <t>GW:</t>
        </r>
        <r>
          <rPr>
            <sz val="11"/>
            <color indexed="81"/>
            <rFont val="Tahoma"/>
            <family val="2"/>
          </rPr>
          <t xml:space="preserve">
0 ≤ </t>
        </r>
        <r>
          <rPr>
            <i/>
            <sz val="11"/>
            <color indexed="81"/>
            <rFont val="Tahoma"/>
            <family val="2"/>
          </rPr>
          <t>a</t>
        </r>
        <r>
          <rPr>
            <sz val="11"/>
            <color indexed="81"/>
            <rFont val="Tahoma"/>
            <family val="2"/>
          </rPr>
          <t xml:space="preserve">, der Anteilsfaktor kann insbesonder auch größer als 1 sein.
</t>
        </r>
      </text>
    </comment>
    <comment ref="A31" authorId="0" shapeId="0" xr:uid="{00000000-0006-0000-0500-000015000000}">
      <text>
        <r>
          <rPr>
            <b/>
            <sz val="11"/>
            <color indexed="81"/>
            <rFont val="Tahoma"/>
            <family val="2"/>
          </rPr>
          <t>GW:</t>
        </r>
        <r>
          <rPr>
            <sz val="11"/>
            <color indexed="81"/>
            <rFont val="Tahoma"/>
            <family val="2"/>
          </rPr>
          <t xml:space="preserve">
rechnet im ersten Bild den grünen Strich in den blauen Strich um</t>
        </r>
      </text>
    </comment>
    <comment ref="C31" authorId="0" shapeId="0" xr:uid="{00000000-0006-0000-0500-000016000000}">
      <text>
        <r>
          <rPr>
            <b/>
            <sz val="11"/>
            <color indexed="81"/>
            <rFont val="Tahoma"/>
            <family val="2"/>
          </rPr>
          <t>GW:</t>
        </r>
        <r>
          <rPr>
            <sz val="11"/>
            <color indexed="81"/>
            <rFont val="Tahoma"/>
            <family val="2"/>
          </rPr>
          <t xml:space="preserve">
0 ≤ </t>
        </r>
        <r>
          <rPr>
            <i/>
            <sz val="11"/>
            <color indexed="81"/>
            <rFont val="Tahoma"/>
            <family val="2"/>
          </rPr>
          <t>s</t>
        </r>
        <r>
          <rPr>
            <sz val="11"/>
            <color indexed="81"/>
            <rFont val="Tahoma"/>
            <family val="2"/>
          </rPr>
          <t xml:space="preserve"> ≤ 1
s = 0: keine tatsächliche Vermeidungsleistung in dieser Ebene des Netzbetreibers
s = 1: die Überspeisung zum Zeitpunkt </t>
        </r>
        <r>
          <rPr>
            <i/>
            <sz val="11"/>
            <color indexed="81"/>
            <rFont val="Tahoma"/>
            <family val="2"/>
          </rPr>
          <t>t</t>
        </r>
        <r>
          <rPr>
            <i/>
            <vertAlign val="subscript"/>
            <sz val="11"/>
            <color indexed="81"/>
            <rFont val="Tahoma"/>
            <family val="2"/>
          </rPr>
          <t>E</t>
        </r>
        <r>
          <rPr>
            <sz val="11"/>
            <color indexed="81"/>
            <rFont val="Tahoma"/>
            <family val="2"/>
          </rPr>
          <t xml:space="preserve"> ist 0 (</t>
        </r>
        <r>
          <rPr>
            <i/>
            <sz val="11"/>
            <color indexed="81"/>
            <rFont val="Tahoma"/>
            <family val="2"/>
          </rPr>
          <t>P</t>
        </r>
        <r>
          <rPr>
            <i/>
            <vertAlign val="subscript"/>
            <sz val="11"/>
            <color indexed="81"/>
            <rFont val="Tahoma"/>
            <family val="2"/>
          </rPr>
          <t>A,tE</t>
        </r>
        <r>
          <rPr>
            <sz val="11"/>
            <color indexed="81"/>
            <rFont val="Tahoma"/>
            <family val="2"/>
          </rPr>
          <t xml:space="preserve"> = 0) und die maximale Bezugslast und die Bezugslast zum Zeitpunkt </t>
        </r>
        <r>
          <rPr>
            <i/>
            <sz val="11"/>
            <color indexed="81"/>
            <rFont val="Tahoma"/>
            <family val="2"/>
          </rPr>
          <t>t</t>
        </r>
        <r>
          <rPr>
            <i/>
            <vertAlign val="subscript"/>
            <sz val="11"/>
            <color indexed="81"/>
            <rFont val="Tahoma"/>
            <family val="2"/>
          </rPr>
          <t>E</t>
        </r>
        <r>
          <rPr>
            <sz val="11"/>
            <color indexed="81"/>
            <rFont val="Tahoma"/>
            <family val="2"/>
          </rPr>
          <t xml:space="preserve"> sind identisch (</t>
        </r>
        <r>
          <rPr>
            <i/>
            <sz val="11"/>
            <color indexed="81"/>
            <rFont val="Tahoma"/>
            <family val="2"/>
          </rPr>
          <t>P</t>
        </r>
        <r>
          <rPr>
            <i/>
            <vertAlign val="subscript"/>
            <sz val="11"/>
            <color indexed="81"/>
            <rFont val="Tahoma"/>
            <family val="2"/>
          </rPr>
          <t>B,max</t>
        </r>
        <r>
          <rPr>
            <i/>
            <sz val="11"/>
            <color indexed="81"/>
            <rFont val="Tahoma"/>
            <family val="2"/>
          </rPr>
          <t xml:space="preserve"> = P</t>
        </r>
        <r>
          <rPr>
            <i/>
            <vertAlign val="subscript"/>
            <sz val="11"/>
            <color indexed="81"/>
            <rFont val="Tahoma"/>
            <family val="2"/>
          </rPr>
          <t>B,tE</t>
        </r>
        <r>
          <rPr>
            <i/>
            <sz val="11"/>
            <color indexed="81"/>
            <rFont val="Tahoma"/>
            <family val="2"/>
          </rPr>
          <t>)</t>
        </r>
      </text>
    </comment>
    <comment ref="A35" authorId="0" shapeId="0" xr:uid="{00000000-0006-0000-0500-000017000000}">
      <text>
        <r>
          <rPr>
            <b/>
            <sz val="11"/>
            <color indexed="81"/>
            <rFont val="Tahoma"/>
            <family val="2"/>
          </rPr>
          <t>GW:</t>
        </r>
        <r>
          <rPr>
            <sz val="11"/>
            <color indexed="81"/>
            <rFont val="Tahoma"/>
            <family val="2"/>
          </rPr>
          <t xml:space="preserve">
Leistungsgemessene Einspeiser müssen nur dann gesondert aufgeführt werden, wenn sie einen Beitrag zur Vermeidungsleistung liefern, d. h. wenn sie zum Zeitpunkt der Jahreshöchstlast der verlustbehafteten Spannungsebene tatsächlich einspeisen. 
EEG-Einspeiser mit zeitweiliger oder prozentualer sonstiger Direktvermarktung müssen zweimal aufgeführt werden (einmal als EEG-Anlage und einmal als sonstige Anlage), um einen Vergleich mit dem EEG-Testat zu ermöglichen.</t>
        </r>
        <r>
          <rPr>
            <sz val="9"/>
            <color indexed="81"/>
            <rFont val="Tahoma"/>
            <family val="2"/>
          </rPr>
          <t xml:space="preserve">
</t>
        </r>
      </text>
    </comment>
    <comment ref="B35" authorId="0" shapeId="0" xr:uid="{00000000-0006-0000-0500-000018000000}">
      <text>
        <r>
          <rPr>
            <b/>
            <sz val="11"/>
            <color indexed="81"/>
            <rFont val="Tahoma"/>
            <family val="2"/>
          </rPr>
          <t>GW:</t>
        </r>
        <r>
          <rPr>
            <sz val="11"/>
            <color indexed="81"/>
            <rFont val="Tahoma"/>
            <family val="2"/>
          </rPr>
          <t xml:space="preserve">
Das Eingabefeld erscheint rot, 
- falls keine Auswahl getroffen wurde, obwohl ein Arbeits- oder ein Leistungswert eingegeben wurde oder
- die getroffene Auswahl nicht zulässig ist (entsteht z. B. beim Kopieren)
Anlagen mit sonstiger Direktvermarktung sind zweimal zu erfassen. Die Arbeit ist nach tatsächlichem Anfall, die Leistung zeitanteilig einzugeben (Gleicher Ansicht: Anhang zum BDEW/VKU – Beiblatt zum Kalkulationsleitfaden
nach § 18 StromNEV (Direktvermarktung von Strom aus EEG-Anlagen vom 09.10.2009)).</t>
        </r>
      </text>
    </comment>
    <comment ref="C35" authorId="0" shapeId="0" xr:uid="{00000000-0006-0000-0500-000019000000}">
      <text>
        <r>
          <rPr>
            <b/>
            <sz val="11"/>
            <color indexed="81"/>
            <rFont val="Tahoma"/>
            <family val="2"/>
          </rPr>
          <t>GW:</t>
        </r>
        <r>
          <rPr>
            <sz val="11"/>
            <color indexed="81"/>
            <rFont val="Tahoma"/>
            <family val="2"/>
          </rPr>
          <t xml:space="preserve">
Bei Anlagen, die im Jahr 2017 oder früher in Betrieb genommen wurden, reicht es aus das Jahr 2017 einzugeben.
Das Auswahlfeld erscheint rot, wenn 
- eine Einspeiseart ausgewählt wurde und 
- weder ein Jahr der Inbetriebnahme noch ein passender Zeitraum der Inbetriebnahme eingegeben wurde.</t>
        </r>
      </text>
    </comment>
    <comment ref="D35" authorId="1" shapeId="0" xr:uid="{00000000-0006-0000-0500-00001A000000}">
      <text>
        <r>
          <rPr>
            <b/>
            <sz val="11"/>
            <color indexed="81"/>
            <rFont val="Tahoma"/>
            <family val="2"/>
          </rPr>
          <t>Auburger, Kilian (Reg Oberpfalz):</t>
        </r>
        <r>
          <rPr>
            <sz val="11"/>
            <color indexed="81"/>
            <rFont val="Tahoma"/>
            <family val="2"/>
          </rPr>
          <t xml:space="preserve">
Die fikitive Einspeisung des Selbstverbrauchs eines dezentralen Einspeisers ist nicht ansetzbar, da es bei der fiktiven Rücklieferung des Selbstverbrauchs eine Gegenposition in gleicher Höhe gibt. </t>
        </r>
      </text>
    </comment>
    <comment ref="F35" authorId="0" shapeId="0" xr:uid="{00000000-0006-0000-0500-00001B000000}">
      <text>
        <r>
          <rPr>
            <b/>
            <sz val="11"/>
            <color indexed="81"/>
            <rFont val="Tahoma"/>
            <family val="2"/>
          </rPr>
          <t>GW:</t>
        </r>
        <r>
          <rPr>
            <sz val="11"/>
            <color indexed="81"/>
            <rFont val="Tahoma"/>
            <family val="2"/>
          </rPr>
          <t xml:space="preserve">
Das Eingabefeld erscheint rot, 
- falls keine Auswahl getroffen wurde, obwohl ein Arbeits- oder ein Leistungswert eingegeben wurde oder
- falls der Einspeiser einen überwiegenden Anteil an der Vermeidungsleistung hat oder
- falls es sich um einen EEG-Einspeiser handelt und „j“ gewählt wurde.
Es ist meistens "n" zu wählen, da ein leistungsgemessener Einspeiser meistens auch seinen leistungsgemessenen Wert berücksichtigt haben möchte.
Der VDN-Leitfaden geht davon aus, dass sämtliche EEG-Anlagen verstetigt werden (Seite 5, letzter Satz). Wir halten dies weder für sachgerecht noch für verursachungsgerecht. Das Eingabefeld erscheint bei einer verstetigten EEG-Anlage deshalb rot. 
Würde ein EEG-Einspeiser eine Verstetigung wählen, würde dieser EEG-Einspeiser die vermNE der anderen leistungsgemessenen Einspeiser mit verstetigter Bewertung beeinflussen. Die Vergütung dieses EEG-Einspeisers würde sich aber nicht ändern, da sie sich nach dem EEG richtet. Insbesondere würde ein (volatiler) EEG-Einspeiser der zum Zeitpunkt der maximalen verlustbehafteten Entnahmelast nicht einspeist, die vermNE der anderen Einspeiser mit verstetigter Bewertung reduzieren. 
Im Tool können nur Einspeiser verstetigt werden, die keinen überwiegenden Anteil an der Vermeidungsleistung haben (vgl. § 18 Abs. 3 Satz 2 StromNEV).
Der </t>
        </r>
        <r>
          <rPr>
            <i/>
            <sz val="11"/>
            <color indexed="81"/>
            <rFont val="Tahoma"/>
            <family val="2"/>
          </rPr>
          <t>k</t>
        </r>
        <r>
          <rPr>
            <sz val="11"/>
            <color indexed="81"/>
            <rFont val="Tahoma"/>
            <family val="2"/>
          </rPr>
          <t xml:space="preserve">-te leistungsgemessene Einspeiser hat keinen überwiegenden Anteil an der Vermeidungsleistung, falls 2 * </t>
        </r>
        <r>
          <rPr>
            <i/>
            <sz val="11"/>
            <color indexed="81"/>
            <rFont val="Tahoma"/>
            <family val="2"/>
          </rPr>
          <t>P</t>
        </r>
        <r>
          <rPr>
            <i/>
            <vertAlign val="superscript"/>
            <sz val="11"/>
            <color indexed="81"/>
            <rFont val="Tahoma"/>
            <family val="2"/>
          </rPr>
          <t>k</t>
        </r>
        <r>
          <rPr>
            <i/>
            <vertAlign val="subscript"/>
            <sz val="11"/>
            <color indexed="81"/>
            <rFont val="Tahoma"/>
            <family val="2"/>
          </rPr>
          <t>i,tE</t>
        </r>
        <r>
          <rPr>
            <sz val="11"/>
            <color indexed="81"/>
            <rFont val="Tahoma"/>
            <family val="2"/>
          </rPr>
          <t xml:space="preserve"> &lt;= </t>
        </r>
        <r>
          <rPr>
            <i/>
            <sz val="11"/>
            <color indexed="81"/>
            <rFont val="Tahoma"/>
            <family val="2"/>
          </rPr>
          <t>P</t>
        </r>
        <r>
          <rPr>
            <i/>
            <vertAlign val="subscript"/>
            <sz val="11"/>
            <color indexed="81"/>
            <rFont val="Tahoma"/>
            <family val="2"/>
          </rPr>
          <t>verm,tE</t>
        </r>
        <r>
          <rPr>
            <sz val="11"/>
            <color indexed="81"/>
            <rFont val="Tahoma"/>
            <family val="2"/>
          </rPr>
          <t xml:space="preserve">. Nach dem Wortlaut der StromNEV wird auf die Vermeidungsleistung abgestellt, ohne klarzustellen, ob die Vermeidungsleistung zum Zeitpunkt </t>
        </r>
        <r>
          <rPr>
            <i/>
            <sz val="11"/>
            <color indexed="81"/>
            <rFont val="Tahoma"/>
            <family val="2"/>
          </rPr>
          <t>t</t>
        </r>
        <r>
          <rPr>
            <i/>
            <vertAlign val="subscript"/>
            <sz val="11"/>
            <color indexed="81"/>
            <rFont val="Tahoma"/>
            <family val="2"/>
          </rPr>
          <t>E</t>
        </r>
        <r>
          <rPr>
            <sz val="11"/>
            <color indexed="81"/>
            <rFont val="Tahoma"/>
            <family val="2"/>
          </rPr>
          <t xml:space="preserve"> oder die tatsächliche Vermeidungsleistung gemeint ist. Da ein Anteil anzuwenden ist und die Leistung des k-ten Einspeisers zum Zeitpunkt </t>
        </r>
        <r>
          <rPr>
            <i/>
            <sz val="11"/>
            <color indexed="81"/>
            <rFont val="Tahoma"/>
            <family val="2"/>
          </rPr>
          <t>t</t>
        </r>
        <r>
          <rPr>
            <i/>
            <vertAlign val="subscript"/>
            <sz val="11"/>
            <color indexed="81"/>
            <rFont val="Tahoma"/>
            <family val="2"/>
          </rPr>
          <t>E</t>
        </r>
        <r>
          <rPr>
            <i/>
            <sz val="11"/>
            <color indexed="81"/>
            <rFont val="Tahoma"/>
            <family val="2"/>
          </rPr>
          <t xml:space="preserve"> </t>
        </r>
        <r>
          <rPr>
            <sz val="11"/>
            <color indexed="81"/>
            <rFont val="Tahoma"/>
            <family val="2"/>
          </rPr>
          <t xml:space="preserve">herangezogen wird, muss die Vermeidungsleistung zum Zeitpunkt </t>
        </r>
        <r>
          <rPr>
            <i/>
            <sz val="11"/>
            <color indexed="81"/>
            <rFont val="Tahoma"/>
            <family val="2"/>
          </rPr>
          <t>t</t>
        </r>
        <r>
          <rPr>
            <i/>
            <vertAlign val="subscript"/>
            <sz val="11"/>
            <color indexed="81"/>
            <rFont val="Tahoma"/>
            <family val="2"/>
          </rPr>
          <t>E</t>
        </r>
        <r>
          <rPr>
            <sz val="11"/>
            <color indexed="81"/>
            <rFont val="Tahoma"/>
            <family val="2"/>
          </rPr>
          <t xml:space="preserve"> gemeint sein.
Das einmal gewählte Verfahren sollte über mehrere Jahre beibehalten werden.
In der Praxis finden sich z. B. beim Bayernwerk auch folgende Regelungen: 
- Keine Wahlmöglichkeit haben leistungsgemessene Einspeiser, bei denen die maximale Einspeiseleistung 2 MW (NE4, NE5, NE6 und NE7) bzw. 20 MW (NE2 und NE3) übersteigt.
- Einspeiser mit Wahlmöglichkeit müssen sich im Vorjahr bis spätestens 30.11. entscheiden, welches Verfahren sie gerne hätten.
</t>
        </r>
      </text>
    </comment>
    <comment ref="G35" authorId="0" shapeId="0" xr:uid="{00000000-0006-0000-0500-00001C000000}">
      <text>
        <r>
          <rPr>
            <b/>
            <sz val="11"/>
            <color indexed="81"/>
            <rFont val="Tahoma"/>
            <family val="2"/>
          </rPr>
          <t>GW:</t>
        </r>
        <r>
          <rPr>
            <sz val="11"/>
            <color indexed="81"/>
            <rFont val="Tahoma"/>
            <family val="2"/>
          </rPr>
          <t xml:space="preserve">
Diese Zahl wird auch bei einer Verstetigung benötigt, um zu überprüfen, ob der Einspeiser einen überwiegenden Anteil an der Vermeidungsleistung hat (vgl. § 18 Abs. 3 Satz 2).</t>
        </r>
      </text>
    </comment>
    <comment ref="H35" authorId="0" shapeId="0" xr:uid="{00000000-0006-0000-0500-00001D000000}">
      <text>
        <r>
          <rPr>
            <b/>
            <sz val="11"/>
            <color indexed="81"/>
            <rFont val="Arial"/>
            <family val="2"/>
          </rPr>
          <t>GW:</t>
        </r>
        <r>
          <rPr>
            <sz val="11"/>
            <color indexed="81"/>
            <rFont val="Arial"/>
            <family val="2"/>
          </rPr>
          <t xml:space="preserve">
(gemessene Leistung) oder
(verstetigte Leistung *  a</t>
        </r>
        <r>
          <rPr>
            <vertAlign val="superscript"/>
            <sz val="11"/>
            <color indexed="81"/>
            <rFont val="Arial"/>
            <family val="2"/>
          </rPr>
          <t>L</t>
        </r>
        <r>
          <rPr>
            <sz val="11"/>
            <color indexed="81"/>
            <rFont val="Arial"/>
            <family val="2"/>
          </rPr>
          <t xml:space="preserve"> bzw. a</t>
        </r>
        <r>
          <rPr>
            <vertAlign val="superscript"/>
            <sz val="11"/>
            <color indexed="81"/>
            <rFont val="Arial"/>
            <family val="2"/>
          </rPr>
          <t>nL</t>
        </r>
        <r>
          <rPr>
            <sz val="11"/>
            <color indexed="81"/>
            <rFont val="Arial"/>
            <family val="2"/>
          </rPr>
          <t>)</t>
        </r>
      </text>
    </comment>
    <comment ref="J35" authorId="1" shapeId="0" xr:uid="{00000000-0006-0000-0500-00001E000000}">
      <text>
        <r>
          <rPr>
            <b/>
            <sz val="11"/>
            <color indexed="81"/>
            <rFont val="Tahoma"/>
            <family val="2"/>
          </rPr>
          <t>Auburger, Kilian (Reg Oberpfalz):</t>
        </r>
        <r>
          <rPr>
            <sz val="11"/>
            <color indexed="81"/>
            <rFont val="Tahoma"/>
            <family val="2"/>
          </rPr>
          <t xml:space="preserve">
Dieses Feld erscheint rot, wenn die eingetragene Gewichtung
- bei EEG-, KWKG- und sonstigen Einspeisern sowie Einspeisern ohne vermNE nicht der Gewichtung nach § 18 Abs. 1 Satz 1 und 2 sowie § 18 Abs. 5 StromNEV entspricht oder 
- bei Rückspeisung aus der eigenen nachgelagerten Ebene von der berechneten Gewichtung in Zelle J21 abweicht.</t>
        </r>
        <r>
          <rPr>
            <sz val="9"/>
            <color indexed="81"/>
            <rFont val="Segoe UI"/>
            <family val="2"/>
          </rPr>
          <t xml:space="preserve">
</t>
        </r>
      </text>
    </comment>
    <comment ref="K35" authorId="1" shapeId="0" xr:uid="{00000000-0006-0000-0500-00001F000000}">
      <text>
        <r>
          <rPr>
            <b/>
            <sz val="11"/>
            <color indexed="81"/>
            <rFont val="Tahoma"/>
            <family val="2"/>
          </rPr>
          <t>Auburger, Kilian (Reg Oberpfalz):</t>
        </r>
        <r>
          <rPr>
            <sz val="11"/>
            <color indexed="81"/>
            <rFont val="Tahoma"/>
            <family val="2"/>
          </rPr>
          <t xml:space="preserve">
Dieses Feld erscheint rot, wenn die eingetragene Gewichtung
- bei EEG-, KWKG- und sonstigen Einspeisern sowie Einspeisern ohne vermNE nicht mit der Gewichtung der Arbeit desselben Einspeisers übereinstimmt oder 
- bei Rückspeisung aus der eigenen nachgelagerten Ebene von der berechneten Gewichtung in Zelle K21 abweicht.</t>
        </r>
        <r>
          <rPr>
            <sz val="9"/>
            <color indexed="81"/>
            <rFont val="Segoe UI"/>
            <family val="2"/>
          </rPr>
          <t xml:space="preserve">
</t>
        </r>
      </text>
    </comment>
    <comment ref="M35" authorId="0" shapeId="0" xr:uid="{00000000-0006-0000-0500-000020000000}">
      <text>
        <r>
          <rPr>
            <b/>
            <sz val="11"/>
            <color indexed="81"/>
            <rFont val="Tahoma"/>
            <family val="2"/>
          </rPr>
          <t>GW:</t>
        </r>
        <r>
          <rPr>
            <sz val="11"/>
            <color indexed="81"/>
            <rFont val="Tahoma"/>
            <family val="2"/>
          </rPr>
          <t xml:space="preserve">
R: Referenzpreisblatt
A: aktuelles Preisblatt
In diesem Tool wird - abweichend von der Anwendungshilfe "Fragen und Antworten zur Umsetzung des NEMoG", Ergänzung vom 20.06.2018, 2. Antwort - für jeden Einspeiser einzeln entschieden, welches Preisblatt zur Anwendung kommt. Unterschiedliche Preisblätter kommen in der Regel dann zur Anwendung, wenn in einem Preisblatt der Arbeitspreis und dem [einem] anderen Preisblatt der Leistungspreis größer ist.
Die Begründung der abweichenden Vorgehensweise liegt in der Transparenz für den Einspeiser: Ein Einspeiser kann die im Tool verwendete Vorgehensweise nachvollziehen. Die Berechnung einer Briefmarke kann man hingegen von einem Einspeiser nicht erwarten.
Die gesetzliche Regelung findet sich § 120 Abs. 4 Satz 1 EnWG.</t>
        </r>
      </text>
    </comment>
    <comment ref="U35" authorId="0" shapeId="0" xr:uid="{00000000-0006-0000-0500-000021000000}">
      <text>
        <r>
          <rPr>
            <b/>
            <sz val="11"/>
            <color indexed="81"/>
            <rFont val="Tahoma"/>
            <family val="2"/>
          </rPr>
          <t>GW:</t>
        </r>
        <r>
          <rPr>
            <sz val="11"/>
            <color indexed="81"/>
            <rFont val="Tahoma"/>
            <family val="2"/>
          </rPr>
          <t xml:space="preserve">
Dieser Schlüssel verteilt die erhaltene Rückspeisevergütung für Leistung auf die dezentralen Einspeiser.
Der Schlüssel 2 berücksichtigt den Zeitpunkt, der Grundlage war für die erhaltene Rückspeisevergütung für Leistung, und ist daher grundsätzlich dem Schlüssel 1 und dem Schlüssel 3 vorzuziehen. 
Für Schlüssel 3 spricht, dass ein Einspeiser einen Zeitpunkt besser planen kann. Für Schlüssel 1 und Schlüssel 3 spricht die einfachere Handhabung. In der Praxis kann man sich deshalb oft mit dem Schlüssel 1 oder mit dem Schlüssel 3 behelfen.
Für den Fall, dass die Jahreshöchstlast der Ebene und die Jahreshöchstlast der vorgelagerten Ebene zum selben Zeitpunkt auftritt, fallen Schlüssel 2 und Schlüssel 3 zusammen.
Schlüssel 1 entspricht einer Verstetigung sämtlicher Einspeiser bei der Rückspeisung.
</t>
        </r>
      </text>
    </comment>
    <comment ref="W35" authorId="1" shapeId="0" xr:uid="{00000000-0006-0000-0500-000022000000}">
      <text>
        <r>
          <rPr>
            <b/>
            <sz val="11"/>
            <color indexed="81"/>
            <rFont val="Segoe UI"/>
            <family val="2"/>
          </rPr>
          <t xml:space="preserve">Auburger, Kilian (Reg </t>
        </r>
        <r>
          <rPr>
            <b/>
            <sz val="11"/>
            <color indexed="81"/>
            <rFont val="Tahoma"/>
            <family val="2"/>
          </rPr>
          <t>Oberpfalz):</t>
        </r>
        <r>
          <rPr>
            <sz val="11"/>
            <color indexed="81"/>
            <rFont val="Tahoma"/>
            <family val="2"/>
          </rPr>
          <t xml:space="preserve">
Die weitergegebenen Kosten müssen in Summe mit den bei den vorgelagerten Netzkosten angesetzten Kosten übereinstimmen. Die Verteilung auf die Einspeiser ist jeweils im Einzelfall zu entscheiden.</t>
        </r>
      </text>
    </comment>
    <comment ref="A51" authorId="0" shapeId="0" xr:uid="{00000000-0006-0000-0500-000023000000}">
      <text>
        <r>
          <rPr>
            <b/>
            <sz val="12"/>
            <color indexed="81"/>
            <rFont val="Tahoma"/>
            <family val="2"/>
          </rPr>
          <t>GW:</t>
        </r>
        <r>
          <rPr>
            <sz val="12"/>
            <color indexed="81"/>
            <rFont val="Tahoma"/>
            <family val="2"/>
          </rPr>
          <t xml:space="preserve">
</t>
        </r>
        <r>
          <rPr>
            <sz val="11"/>
            <color indexed="81"/>
            <rFont val="Tahoma"/>
            <family val="2"/>
          </rPr>
          <t>EEG-Einspeiser mit zeitweiliger oder prozentualer sonstiger Direktvermarktung müssen zweimal berücksichtigt werden (einmal als EEG-Anlage und einmal als sonstige Anlage), um einen Vergleich mit dem EEG-Testat zu ermöglichen.</t>
        </r>
      </text>
    </comment>
    <comment ref="E69" authorId="0" shapeId="0" xr:uid="{00000000-0006-0000-0500-000024000000}">
      <text>
        <r>
          <rPr>
            <b/>
            <sz val="11"/>
            <color indexed="81"/>
            <rFont val="Tahoma"/>
            <family val="2"/>
          </rPr>
          <t>GW:</t>
        </r>
        <r>
          <rPr>
            <sz val="11"/>
            <color indexed="81"/>
            <rFont val="Tahoma"/>
            <family val="2"/>
          </rPr>
          <t xml:space="preserve">
Diese Zelle erschein rot, wenn die Rechnung oben zu einem anderen Wert führt.</t>
        </r>
      </text>
    </comment>
    <comment ref="O69" authorId="0" shapeId="0" xr:uid="{00000000-0006-0000-0500-000025000000}">
      <text>
        <r>
          <rPr>
            <b/>
            <sz val="11"/>
            <color indexed="81"/>
            <rFont val="Tahoma"/>
            <family val="2"/>
          </rPr>
          <t>GW:</t>
        </r>
        <r>
          <rPr>
            <sz val="11"/>
            <color indexed="81"/>
            <rFont val="Tahoma"/>
            <family val="2"/>
          </rPr>
          <t xml:space="preserve">
Diese Zelle erschein rot, wenn die Rechnung oben zu einem anderen Wert führt.</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GW</author>
    <author>Auburger, Kilian (Reg Oberpfalz)</author>
  </authors>
  <commentList>
    <comment ref="A8" authorId="0" shapeId="0" xr:uid="{00000000-0006-0000-0600-000001000000}">
      <text>
        <r>
          <rPr>
            <b/>
            <sz val="11"/>
            <color indexed="81"/>
            <rFont val="Tahoma"/>
            <family val="2"/>
          </rPr>
          <t>GW:</t>
        </r>
        <r>
          <rPr>
            <sz val="11"/>
            <color indexed="81"/>
            <rFont val="Tahoma"/>
            <family val="2"/>
          </rPr>
          <t xml:space="preserve">
rechnerischer Wert unter der Voraussetzung, dass Arbeit nur von der vorgelagerten Netzebene eingespeist wird.</t>
        </r>
      </text>
    </comment>
    <comment ref="C10" authorId="0" shapeId="0" xr:uid="{00000000-0006-0000-0600-000002000000}">
      <text>
        <r>
          <rPr>
            <b/>
            <sz val="11"/>
            <color indexed="81"/>
            <rFont val="Tahoma"/>
            <family val="2"/>
          </rPr>
          <t>GW:</t>
        </r>
        <r>
          <rPr>
            <sz val="11"/>
            <color indexed="81"/>
            <rFont val="Tahoma"/>
            <family val="2"/>
          </rPr>
          <t xml:space="preserve">
Diese Zelle erschein rot, wenn die Rechnung unten zu einem anderen Wert führt.
Wegen
</t>
        </r>
        <r>
          <rPr>
            <i/>
            <sz val="11"/>
            <color indexed="81"/>
            <rFont val="Tahoma"/>
            <family val="2"/>
          </rPr>
          <t>B</t>
        </r>
        <r>
          <rPr>
            <i/>
            <vertAlign val="subscript"/>
            <sz val="11"/>
            <color indexed="81"/>
            <rFont val="Tahoma"/>
            <family val="2"/>
          </rPr>
          <t>eN</t>
        </r>
        <r>
          <rPr>
            <i/>
            <sz val="11"/>
            <color indexed="81"/>
            <rFont val="Tahoma"/>
            <family val="2"/>
          </rPr>
          <t xml:space="preserve"> + B</t>
        </r>
        <r>
          <rPr>
            <i/>
            <vertAlign val="subscript"/>
            <sz val="11"/>
            <color indexed="81"/>
            <rFont val="Tahoma"/>
            <family val="2"/>
          </rPr>
          <t>fN</t>
        </r>
        <r>
          <rPr>
            <i/>
            <sz val="11"/>
            <color indexed="81"/>
            <rFont val="Tahoma"/>
            <family val="2"/>
          </rPr>
          <t xml:space="preserve"> + D + R</t>
        </r>
        <r>
          <rPr>
            <i/>
            <vertAlign val="subscript"/>
            <sz val="11"/>
            <color indexed="81"/>
            <rFont val="Tahoma"/>
            <family val="2"/>
          </rPr>
          <t>eN</t>
        </r>
        <r>
          <rPr>
            <i/>
            <sz val="11"/>
            <color indexed="81"/>
            <rFont val="Tahoma"/>
            <family val="2"/>
          </rPr>
          <t xml:space="preserve"> + R</t>
        </r>
        <r>
          <rPr>
            <i/>
            <vertAlign val="subscript"/>
            <sz val="11"/>
            <color indexed="81"/>
            <rFont val="Tahoma"/>
            <family val="2"/>
          </rPr>
          <t>fN</t>
        </r>
        <r>
          <rPr>
            <i/>
            <sz val="11"/>
            <color indexed="81"/>
            <rFont val="Tahoma"/>
            <family val="2"/>
          </rPr>
          <t xml:space="preserve"> = L + eN + fN + A</t>
        </r>
        <r>
          <rPr>
            <i/>
            <vertAlign val="subscript"/>
            <sz val="11"/>
            <color indexed="81"/>
            <rFont val="Tahoma"/>
            <family val="2"/>
          </rPr>
          <t>eN</t>
        </r>
        <r>
          <rPr>
            <i/>
            <sz val="11"/>
            <color indexed="81"/>
            <rFont val="Tahoma"/>
            <family val="2"/>
          </rPr>
          <t xml:space="preserve"> + A</t>
        </r>
        <r>
          <rPr>
            <i/>
            <vertAlign val="subscript"/>
            <sz val="11"/>
            <color indexed="81"/>
            <rFont val="Tahoma"/>
            <family val="2"/>
          </rPr>
          <t>fN</t>
        </r>
        <r>
          <rPr>
            <i/>
            <sz val="11"/>
            <color indexed="81"/>
            <rFont val="Tahoma"/>
            <family val="2"/>
          </rPr>
          <t xml:space="preserve"> +V
= (L + eN + fN + A</t>
        </r>
        <r>
          <rPr>
            <i/>
            <vertAlign val="subscript"/>
            <sz val="11"/>
            <color indexed="81"/>
            <rFont val="Tahoma"/>
            <family val="2"/>
          </rPr>
          <t>eN</t>
        </r>
        <r>
          <rPr>
            <i/>
            <sz val="11"/>
            <color indexed="81"/>
            <rFont val="Tahoma"/>
            <family val="2"/>
          </rPr>
          <t xml:space="preserve"> + A</t>
        </r>
        <r>
          <rPr>
            <i/>
            <vertAlign val="subscript"/>
            <sz val="11"/>
            <color indexed="81"/>
            <rFont val="Tahoma"/>
            <family val="2"/>
          </rPr>
          <t>fN</t>
        </r>
        <r>
          <rPr>
            <i/>
            <sz val="11"/>
            <color indexed="81"/>
            <rFont val="Tahoma"/>
            <family val="2"/>
          </rPr>
          <t>) * (1+v)
= (L + eN + fN) * (1+v) + (A</t>
        </r>
        <r>
          <rPr>
            <i/>
            <vertAlign val="subscript"/>
            <sz val="11"/>
            <color indexed="81"/>
            <rFont val="Tahoma"/>
            <family val="2"/>
          </rPr>
          <t>eN</t>
        </r>
        <r>
          <rPr>
            <i/>
            <sz val="11"/>
            <color indexed="81"/>
            <rFont val="Tahoma"/>
            <family val="2"/>
          </rPr>
          <t xml:space="preserve"> + A</t>
        </r>
        <r>
          <rPr>
            <i/>
            <vertAlign val="subscript"/>
            <sz val="11"/>
            <color indexed="81"/>
            <rFont val="Tahoma"/>
            <family val="2"/>
          </rPr>
          <t>fN</t>
        </r>
        <r>
          <rPr>
            <i/>
            <sz val="11"/>
            <color indexed="81"/>
            <rFont val="Tahoma"/>
            <family val="2"/>
          </rPr>
          <t>) * (1+v)
= E</t>
        </r>
        <r>
          <rPr>
            <i/>
            <vertAlign val="subscript"/>
            <sz val="11"/>
            <color indexed="81"/>
            <rFont val="Tahoma"/>
            <family val="2"/>
          </rPr>
          <t>max</t>
        </r>
        <r>
          <rPr>
            <i/>
            <sz val="11"/>
            <color indexed="81"/>
            <rFont val="Tahoma"/>
            <family val="2"/>
          </rPr>
          <t xml:space="preserve"> + (A</t>
        </r>
        <r>
          <rPr>
            <i/>
            <vertAlign val="subscript"/>
            <sz val="11"/>
            <color indexed="81"/>
            <rFont val="Tahoma"/>
            <family val="2"/>
          </rPr>
          <t>eN</t>
        </r>
        <r>
          <rPr>
            <i/>
            <sz val="11"/>
            <color indexed="81"/>
            <rFont val="Tahoma"/>
            <family val="2"/>
          </rPr>
          <t xml:space="preserve"> + A</t>
        </r>
        <r>
          <rPr>
            <i/>
            <vertAlign val="subscript"/>
            <sz val="11"/>
            <color indexed="81"/>
            <rFont val="Tahoma"/>
            <family val="2"/>
          </rPr>
          <t>fN</t>
        </r>
        <r>
          <rPr>
            <i/>
            <sz val="11"/>
            <color indexed="81"/>
            <rFont val="Tahoma"/>
            <family val="2"/>
          </rPr>
          <t>) * (1+v)</t>
        </r>
        <r>
          <rPr>
            <sz val="11"/>
            <color indexed="81"/>
            <rFont val="Tahoma"/>
            <family val="2"/>
          </rPr>
          <t xml:space="preserve">
gilt
</t>
        </r>
        <r>
          <rPr>
            <i/>
            <sz val="11"/>
            <color indexed="81"/>
            <rFont val="Tahoma"/>
            <family val="2"/>
          </rPr>
          <t>E</t>
        </r>
        <r>
          <rPr>
            <i/>
            <vertAlign val="subscript"/>
            <sz val="11"/>
            <color indexed="81"/>
            <rFont val="Tahoma"/>
            <family val="2"/>
          </rPr>
          <t>max</t>
        </r>
        <r>
          <rPr>
            <i/>
            <sz val="11"/>
            <color indexed="81"/>
            <rFont val="Tahoma"/>
            <family val="2"/>
          </rPr>
          <t xml:space="preserve"> - B</t>
        </r>
        <r>
          <rPr>
            <i/>
            <vertAlign val="subscript"/>
            <sz val="11"/>
            <color indexed="81"/>
            <rFont val="Tahoma"/>
            <family val="2"/>
          </rPr>
          <t>eN</t>
        </r>
        <r>
          <rPr>
            <i/>
            <sz val="11"/>
            <color indexed="81"/>
            <rFont val="Tahoma"/>
            <family val="2"/>
          </rPr>
          <t xml:space="preserve"> - B</t>
        </r>
        <r>
          <rPr>
            <i/>
            <vertAlign val="subscript"/>
            <sz val="11"/>
            <color indexed="81"/>
            <rFont val="Tahoma"/>
            <family val="2"/>
          </rPr>
          <t>fN</t>
        </r>
        <r>
          <rPr>
            <i/>
            <sz val="11"/>
            <color indexed="81"/>
            <rFont val="Tahoma"/>
            <family val="2"/>
          </rPr>
          <t xml:space="preserve"> = D + R</t>
        </r>
        <r>
          <rPr>
            <i/>
            <vertAlign val="subscript"/>
            <sz val="11"/>
            <color indexed="81"/>
            <rFont val="Tahoma"/>
            <family val="2"/>
          </rPr>
          <t>eN</t>
        </r>
        <r>
          <rPr>
            <i/>
            <sz val="11"/>
            <color indexed="81"/>
            <rFont val="Tahoma"/>
            <family val="2"/>
          </rPr>
          <t xml:space="preserve"> + R</t>
        </r>
        <r>
          <rPr>
            <i/>
            <vertAlign val="subscript"/>
            <sz val="11"/>
            <color indexed="81"/>
            <rFont val="Tahoma"/>
            <family val="2"/>
          </rPr>
          <t>fN</t>
        </r>
        <r>
          <rPr>
            <i/>
            <sz val="11"/>
            <color indexed="81"/>
            <rFont val="Tahoma"/>
            <family val="2"/>
          </rPr>
          <t xml:space="preserve"> - (A</t>
        </r>
        <r>
          <rPr>
            <i/>
            <vertAlign val="subscript"/>
            <sz val="11"/>
            <color indexed="81"/>
            <rFont val="Tahoma"/>
            <family val="2"/>
          </rPr>
          <t>eN</t>
        </r>
        <r>
          <rPr>
            <i/>
            <sz val="11"/>
            <color indexed="81"/>
            <rFont val="Tahoma"/>
            <family val="2"/>
          </rPr>
          <t xml:space="preserve"> + A</t>
        </r>
        <r>
          <rPr>
            <i/>
            <vertAlign val="subscript"/>
            <sz val="11"/>
            <color indexed="81"/>
            <rFont val="Tahoma"/>
            <family val="2"/>
          </rPr>
          <t>fN</t>
        </r>
        <r>
          <rPr>
            <i/>
            <sz val="11"/>
            <color indexed="81"/>
            <rFont val="Tahoma"/>
            <family val="2"/>
          </rPr>
          <t>) * (1+v) = E</t>
        </r>
        <r>
          <rPr>
            <i/>
            <vertAlign val="subscript"/>
            <sz val="11"/>
            <color indexed="81"/>
            <rFont val="Tahoma"/>
            <family val="2"/>
          </rPr>
          <t>verm,tat</t>
        </r>
      </text>
    </comment>
    <comment ref="P13" authorId="0" shapeId="0" xr:uid="{00000000-0006-0000-0600-000003000000}">
      <text>
        <r>
          <rPr>
            <b/>
            <sz val="11"/>
            <color indexed="81"/>
            <rFont val="Tahoma"/>
            <family val="2"/>
          </rPr>
          <t>GW:</t>
        </r>
        <r>
          <rPr>
            <sz val="11"/>
            <color indexed="81"/>
            <rFont val="Tahoma"/>
            <family val="2"/>
          </rPr>
          <t xml:space="preserve">
Es ist nur die Vergütung anzusetzen, die auch den vermNE im EEG-Testat bzw. an die Einspeiser zugrunde lag. Stehen die endgültigen Einspeisevergütungssätze erst danach fest, sind grundsätzlich das EEG-Testat und die Gutschriften an die anderen Einspeiser zu korrigieren. 
Bei kleineren Beträgen kann man ausnahmsweise die Differenz zum bisherigen Ansatz (=Gutschrift bzw. Nachbelastung des Netzbetreibers der vorgelagerten Netzebene) entweder
1. von den vermNE lt. Prüfung abziehen (NB erhält nachträglich mehr Geld (Gutschrift)) bzw addieren (NB muss nachträglich Geld zurückzahlen (Nachbelastung)). Dann wirkt die Ausnahmeregelung bei einer Gutschrift zu Lasten des ÜNB bzw. der Einspeiser (und über die niedrigere EO zu Gunsten aller anderen Netzkunden), bei einer Nachbelastung zu Gunsten des ÜNB bzw. der Einspeiser (und über die höhere EO zu Lasten aller anderen Netzkunden) oder
2. im Folgejahr berücksichtigen. In diesem Fall wird die Gutschrift/Nachbelastung den Einspeiserrn im Folgejahr zugeordnet. Die Einspeiser im Folgejahr werden nicht identisch sein mit den Einspeisern im Betrachtungsjahr. Außerdem wird im Folgejahr ein anderer Zeitpunkt für die Rückspeisevergütung maßgeblich sein. Deshalb kommt es auch bei dieser Vorgehensweise zu Verzerrungen.</t>
        </r>
      </text>
    </comment>
    <comment ref="W13" authorId="0" shapeId="0" xr:uid="{00000000-0006-0000-0600-000004000000}">
      <text>
        <r>
          <rPr>
            <b/>
            <sz val="11"/>
            <color indexed="81"/>
            <rFont val="Segoe UI"/>
            <family val="2"/>
          </rPr>
          <t>GW:</t>
        </r>
        <r>
          <rPr>
            <sz val="11"/>
            <color indexed="81"/>
            <rFont val="Segoe UI"/>
            <family val="2"/>
          </rPr>
          <t xml:space="preserve">
Erhält der NB eine Rückspeisevergütung von zwei oder mehr fremden Netzen, kann dies im Tool im Moment nur über den Schlüssel 1 abgebildet werden. Bitte stellen Sie uns diesen Fall vor. Wir überlegen dann, ob wir dieses Tool anpassen können.</t>
        </r>
      </text>
    </comment>
    <comment ref="A14" authorId="0" shapeId="0" xr:uid="{00000000-0006-0000-0600-000005000000}">
      <text>
        <r>
          <rPr>
            <b/>
            <sz val="11"/>
            <color indexed="81"/>
            <rFont val="Tahoma"/>
            <family val="2"/>
          </rPr>
          <t>GW:</t>
        </r>
        <r>
          <rPr>
            <sz val="11"/>
            <color indexed="81"/>
            <rFont val="Tahoma"/>
            <family val="2"/>
          </rPr>
          <t xml:space="preserve">
für die Ermittlung der zu vergütenden Einspeisearbeit</t>
        </r>
      </text>
    </comment>
    <comment ref="C14" authorId="0" shapeId="0" xr:uid="{00000000-0006-0000-0600-000006000000}">
      <text>
        <r>
          <rPr>
            <b/>
            <sz val="11"/>
            <color indexed="81"/>
            <rFont val="Tahoma"/>
            <family val="2"/>
          </rPr>
          <t>GW:</t>
        </r>
        <r>
          <rPr>
            <sz val="11"/>
            <color indexed="81"/>
            <rFont val="Tahoma"/>
            <family val="2"/>
          </rPr>
          <t xml:space="preserve">
0 ≤ </t>
        </r>
        <r>
          <rPr>
            <i/>
            <sz val="11"/>
            <color indexed="81"/>
            <rFont val="Tahoma"/>
            <family val="2"/>
          </rPr>
          <t>r</t>
        </r>
        <r>
          <rPr>
            <sz val="11"/>
            <color indexed="81"/>
            <rFont val="Tahoma"/>
            <family val="2"/>
          </rPr>
          <t xml:space="preserve"> ≤ 1
r = 0: keine Vermeidung in dieser Ebene des Netzbetreibers, komplete Ausspeisung
r = 1: Vermeidung vollständig in dieser Ebene des Netzbetreibers, keine Ausspeisungen</t>
        </r>
      </text>
    </comment>
    <comment ref="P15" authorId="0" shapeId="0" xr:uid="{00000000-0006-0000-0600-000007000000}">
      <text>
        <r>
          <rPr>
            <b/>
            <sz val="11"/>
            <color indexed="81"/>
            <rFont val="Tahoma"/>
            <family val="2"/>
          </rPr>
          <t>GW:</t>
        </r>
        <r>
          <rPr>
            <sz val="11"/>
            <color indexed="81"/>
            <rFont val="Tahoma"/>
            <family val="2"/>
          </rPr>
          <t xml:space="preserve">
Der VDN-Leitfaden betrachtet die Vergütung/Verrrechnung für Arbeit und Leistung in Summe, so dass nach dem VDN-Leitfaden auch nicht leistungsgemessene Einspeiser einen Anteil der erhaltenen Rückspeisevergütung für Leistung erhalten. Dieses Verfahren halten wir deshalb nicht für sachgerecht und betrachten in diesem Tool die Vergütung/Verrechnung für 
Arbeit und Leistung getrennt.
</t>
        </r>
      </text>
    </comment>
    <comment ref="A16" authorId="0" shapeId="0" xr:uid="{00000000-0006-0000-0600-000008000000}">
      <text>
        <r>
          <rPr>
            <b/>
            <sz val="11"/>
            <color indexed="81"/>
            <rFont val="Tahoma"/>
            <family val="2"/>
          </rPr>
          <t>GW:</t>
        </r>
        <r>
          <rPr>
            <sz val="11"/>
            <color indexed="81"/>
            <rFont val="Tahoma"/>
            <family val="2"/>
          </rPr>
          <t xml:space="preserve">
§ 18 </t>
        </r>
        <r>
          <rPr>
            <u/>
            <sz val="11"/>
            <color indexed="81"/>
            <rFont val="Tahoma"/>
            <family val="2"/>
          </rPr>
          <t>Abs. 1</t>
        </r>
        <r>
          <rPr>
            <sz val="11"/>
            <color indexed="81"/>
            <rFont val="Tahoma"/>
            <family val="2"/>
          </rPr>
          <t xml:space="preserve"> Satz 3 StromNEV: „Dieses Entgelt muss den gegenüber den vorgelagerten Netz- oder Umspannebenen durch die jeweiligen Einspeisungen vermiedenen Netzentgelten entsprechen.“
§ 18 </t>
        </r>
        <r>
          <rPr>
            <u/>
            <sz val="11"/>
            <color indexed="81"/>
            <rFont val="Tahoma"/>
            <family val="2"/>
          </rPr>
          <t>Abs. 2</t>
        </r>
        <r>
          <rPr>
            <sz val="11"/>
            <color indexed="81"/>
            <rFont val="Tahoma"/>
            <family val="2"/>
          </rPr>
          <t xml:space="preserve"> Satz 2 StromNEV: „Maßgeblich sind die tatsächliche Vermeidungsarbeit in Kilowattstunden, die tatsächliche Vermeidungsleistung in Kilowatt und die Netzentgelte der vorgelagerten Netz- oder Umspannebene.“
Beide Vorschriften führen zwar grundsätzlich zum gleichen Ergebnis, in Einzelfällen treten jedoch Abweichungen auf. 
Zunächst kann man sich vergegenwärtigen, dass im Fall von mindestens zwei ungepoolten Übergabestellen der gewählte Ansatz (Summe der Jahreshöchstlasten lt. Eingangsrechnungen) zum richtigen eingesparten Entgelt führt (vgl. § 18 Abs. 1 Satz 2 StromNEV): Der Netzbetreiber bezahlt ein Leistungsentgelt für die auf den Rechnungen ausgewiesen Leistungswerte. Die maximale Bezuglast (</t>
        </r>
        <r>
          <rPr>
            <i/>
            <sz val="11"/>
            <color indexed="81"/>
            <rFont val="Tahoma"/>
            <family val="2"/>
          </rPr>
          <t>P</t>
        </r>
        <r>
          <rPr>
            <i/>
            <vertAlign val="subscript"/>
            <sz val="11"/>
            <color indexed="81"/>
            <rFont val="Tahoma"/>
            <family val="2"/>
          </rPr>
          <t>B,max</t>
        </r>
        <r>
          <rPr>
            <sz val="11"/>
            <color indexed="81"/>
            <rFont val="Tahoma"/>
            <family val="2"/>
          </rPr>
          <t xml:space="preserve">), für die der Netzbetreiber bezahlt hat, ergibt sich damit als Summe der auf den Rechnungen ausgewiesenen Leistungswerte. Für die in der Regel positive Differenz </t>
        </r>
        <r>
          <rPr>
            <i/>
            <sz val="11"/>
            <color indexed="81"/>
            <rFont val="Tahoma"/>
            <family val="2"/>
          </rPr>
          <t>P</t>
        </r>
        <r>
          <rPr>
            <i/>
            <vertAlign val="subscript"/>
            <sz val="11"/>
            <color indexed="81"/>
            <rFont val="Tahoma"/>
            <family val="2"/>
          </rPr>
          <t>E,max</t>
        </r>
        <r>
          <rPr>
            <sz val="11"/>
            <color indexed="81"/>
            <rFont val="Tahoma"/>
            <family val="2"/>
          </rPr>
          <t xml:space="preserve"> – </t>
        </r>
        <r>
          <rPr>
            <i/>
            <sz val="11"/>
            <color indexed="81"/>
            <rFont val="Tahoma"/>
            <family val="2"/>
          </rPr>
          <t>P</t>
        </r>
        <r>
          <rPr>
            <i/>
            <vertAlign val="subscript"/>
            <sz val="11"/>
            <color indexed="81"/>
            <rFont val="Tahoma"/>
            <family val="2"/>
          </rPr>
          <t>B,max</t>
        </r>
        <r>
          <rPr>
            <sz val="11"/>
            <color indexed="81"/>
            <rFont val="Tahoma"/>
            <family val="2"/>
          </rPr>
          <t xml:space="preserve"> spart sich der Netzbetreiber ein Leistungsentgelt des vorgelagerten Netzbetreibers. Deshalb ist </t>
        </r>
        <r>
          <rPr>
            <i/>
            <sz val="11"/>
            <color indexed="81"/>
            <rFont val="Tahoma"/>
            <family val="2"/>
          </rPr>
          <t>P</t>
        </r>
        <r>
          <rPr>
            <i/>
            <vertAlign val="subscript"/>
            <sz val="11"/>
            <color indexed="81"/>
            <rFont val="Tahoma"/>
            <family val="2"/>
          </rPr>
          <t>E,max</t>
        </r>
        <r>
          <rPr>
            <i/>
            <sz val="11"/>
            <color indexed="81"/>
            <rFont val="Tahoma"/>
            <family val="2"/>
          </rPr>
          <t xml:space="preserve"> – P</t>
        </r>
        <r>
          <rPr>
            <i/>
            <vertAlign val="subscript"/>
            <sz val="11"/>
            <color indexed="81"/>
            <rFont val="Tahoma"/>
            <family val="2"/>
          </rPr>
          <t>B,max</t>
        </r>
        <r>
          <rPr>
            <sz val="11"/>
            <color indexed="81"/>
            <rFont val="Tahoma"/>
            <family val="2"/>
          </rPr>
          <t xml:space="preserve"> die tatsächliche Vermeidungsleistung. In Extremfällen ist </t>
        </r>
        <r>
          <rPr>
            <i/>
            <sz val="11"/>
            <color indexed="81"/>
            <rFont val="Tahoma"/>
            <family val="2"/>
          </rPr>
          <t>P</t>
        </r>
        <r>
          <rPr>
            <i/>
            <vertAlign val="subscript"/>
            <sz val="11"/>
            <color indexed="81"/>
            <rFont val="Tahoma"/>
            <family val="2"/>
          </rPr>
          <t>B,max</t>
        </r>
        <r>
          <rPr>
            <sz val="11"/>
            <color indexed="81"/>
            <rFont val="Tahoma"/>
            <family val="2"/>
          </rPr>
          <t xml:space="preserve"> größer als </t>
        </r>
        <r>
          <rPr>
            <i/>
            <sz val="11"/>
            <color indexed="81"/>
            <rFont val="Tahoma"/>
            <family val="2"/>
          </rPr>
          <t>P</t>
        </r>
        <r>
          <rPr>
            <i/>
            <vertAlign val="subscript"/>
            <sz val="11"/>
            <color indexed="81"/>
            <rFont val="Tahoma"/>
            <family val="2"/>
          </rPr>
          <t>E,max</t>
        </r>
        <r>
          <rPr>
            <sz val="11"/>
            <color indexed="81"/>
            <rFont val="Tahoma"/>
            <family val="2"/>
          </rPr>
          <t xml:space="preserve">, so dass trotz dezentraler Einspeisung keine Leistung vermieden wird.
Der gewählte Ansatz führt nur dann zum richtigen eingesparten Entgelt, falls der NB ein zusammenhängendes Netzgebiet hat. Deshalb ist im Fall von mehreren nicht zusammenhängenden Netzen, dieses Tool für jedes Netz zu befüllen. Auf diese Weise können auch unterschiedliche vorgelagerte Netzentgelte in den verschiedenen Netzgebieten berücksichtigt werden.
Auch nach § 18 </t>
        </r>
        <r>
          <rPr>
            <u/>
            <sz val="11"/>
            <color indexed="81"/>
            <rFont val="Tahoma"/>
            <family val="2"/>
          </rPr>
          <t>Abs. 2</t>
        </r>
        <r>
          <rPr>
            <sz val="11"/>
            <color indexed="81"/>
            <rFont val="Tahoma"/>
            <family val="2"/>
          </rPr>
          <t xml:space="preserve"> Satz 2 StromNEV, wonach tatsächliche physikalische Größen maßgeblich sind, ergibt sich kein anderes Ergebnis: Die auf den Rechnungen ausgewiesenen Leistungen wurden nämlich tatsächlich bezogen, nicht aber der höchste Leistungswert des Summenlastgangs aller Bezüge.
Im Falle von mehreren Übergabestellen auf verschiedenen Ebenen gibt es in den Rechnungen kein Pooling. Auch bei der Ermittlung der vermiedenen Netzentgelte ist in diesem Fall kein Pooling anzusetzen, da
- es bei den vermiedenen Netzentgelten keinen neuen Pooling-Begriff gibt und
- wie oben ausgeführt nur eine Leistung in Höhe  </t>
        </r>
        <r>
          <rPr>
            <i/>
            <sz val="11"/>
            <color indexed="81"/>
            <rFont val="Tahoma"/>
            <family val="2"/>
          </rPr>
          <t>P</t>
        </r>
        <r>
          <rPr>
            <i/>
            <vertAlign val="subscript"/>
            <sz val="11"/>
            <color indexed="81"/>
            <rFont val="Tahoma"/>
            <family val="2"/>
          </rPr>
          <t>E,max</t>
        </r>
        <r>
          <rPr>
            <i/>
            <sz val="11"/>
            <color indexed="81"/>
            <rFont val="Tahoma"/>
            <family val="2"/>
          </rPr>
          <t xml:space="preserve"> – P</t>
        </r>
        <r>
          <rPr>
            <i/>
            <vertAlign val="subscript"/>
            <sz val="11"/>
            <color indexed="81"/>
            <rFont val="Tahoma"/>
            <family val="2"/>
          </rPr>
          <t>B,max</t>
        </r>
        <r>
          <rPr>
            <sz val="11"/>
            <color indexed="81"/>
            <rFont val="Tahoma"/>
            <family val="2"/>
          </rPr>
          <t xml:space="preserve"> vermieden wird und auch nur diese Leistung zu Kosten beim Netzbetreiber führen kann.
</t>
        </r>
        <r>
          <rPr>
            <u/>
            <sz val="11"/>
            <color indexed="81"/>
            <rFont val="Tahoma"/>
            <family val="2"/>
          </rPr>
          <t>Pooling</t>
        </r>
        <r>
          <rPr>
            <sz val="11"/>
            <color indexed="81"/>
            <rFont val="Tahoma"/>
            <family val="2"/>
          </rPr>
          <t xml:space="preserve"> ist der Oberbegriff für die
1. zeitgleiche und vorzeichengerechte Addition der Lastgangzeitreichen gemäß § 17 Abs. 2a Satz 4 Nr. 1 (Synonyme: Saldierung, Überlagerung, Vektoraddition)
2. zeitgleiche Addition der richtungsgleichen Lastgangzeitreihen gemäß § 17 Abs. 2a Satz 4 Nr. 2 (Synonym: Poolung)
</t>
        </r>
      </text>
    </comment>
    <comment ref="P16" authorId="0" shapeId="0" xr:uid="{00000000-0006-0000-0600-000009000000}">
      <text>
        <r>
          <rPr>
            <b/>
            <sz val="11"/>
            <color indexed="81"/>
            <rFont val="Tahoma"/>
            <family val="2"/>
          </rPr>
          <t>GW:</t>
        </r>
        <r>
          <rPr>
            <sz val="11"/>
            <color indexed="81"/>
            <rFont val="Tahoma"/>
            <family val="2"/>
          </rPr>
          <t xml:space="preserve">
Die Zahlen werden nur zur Verdeutlichung ausgewiesen und haben keinen Nachfolger.</t>
        </r>
      </text>
    </comment>
    <comment ref="P17" authorId="0" shapeId="0" xr:uid="{00000000-0006-0000-0600-00000A000000}">
      <text>
        <r>
          <rPr>
            <b/>
            <sz val="11"/>
            <color indexed="81"/>
            <rFont val="Tahoma"/>
            <family val="2"/>
          </rPr>
          <t>GW:</t>
        </r>
        <r>
          <rPr>
            <sz val="11"/>
            <color indexed="81"/>
            <rFont val="Tahoma"/>
            <family val="2"/>
          </rPr>
          <t xml:space="preserve">
Die Zahlen werden nur zur Verdeutlichung ausgewiesen und haben keinen Nachfolger.
Die erhaltene RSV für Arbeit sollte vollständig an die Einspeiser weitergeben werden. Trifft dies nicht zu erscheint die Zelle rot.
Die erhaltene RSV für Leistung sollte nach dem Anteil der leistungsgemessenen Einspeisern an allen Einspeisern auf Basis des verwendeten Schlüssels an die leistungsgemessenen Einspeiser weitergegeben werden. Trifft dies nicht zu erscheint die Zelle rot.
</t>
        </r>
      </text>
    </comment>
    <comment ref="P19" authorId="0" shapeId="0" xr:uid="{00000000-0006-0000-0600-00000B000000}">
      <text>
        <r>
          <rPr>
            <b/>
            <sz val="11"/>
            <color indexed="81"/>
            <rFont val="Tahoma"/>
            <family val="2"/>
          </rPr>
          <t>GW:</t>
        </r>
        <r>
          <rPr>
            <sz val="11"/>
            <color indexed="81"/>
            <rFont val="Tahoma"/>
            <family val="2"/>
          </rPr>
          <t xml:space="preserve">
Dieser Kasten wird nur benötigt, falls die erhaltene RSV für Leistung nach dem Schlüssel 2 an die Einspeiser weitergegeben wird. Nur in diesem Fall muss der Kasten auch befüllt werden.</t>
        </r>
      </text>
    </comment>
    <comment ref="C20" authorId="0" shapeId="0" xr:uid="{00000000-0006-0000-0600-00000C000000}">
      <text>
        <r>
          <rPr>
            <b/>
            <sz val="11"/>
            <color indexed="81"/>
            <rFont val="Tahoma"/>
            <family val="2"/>
          </rPr>
          <t>GW:</t>
        </r>
        <r>
          <rPr>
            <sz val="11"/>
            <color indexed="81"/>
            <rFont val="Tahoma"/>
            <family val="2"/>
          </rPr>
          <t xml:space="preserve">
Diese Zelle erschein rot, wenn die Rechnung unten zu einem anderen Wert führt.</t>
        </r>
      </text>
    </comment>
    <comment ref="L22" authorId="0" shapeId="0" xr:uid="{00000000-0006-0000-0600-00000D000000}">
      <text>
        <r>
          <rPr>
            <b/>
            <sz val="11"/>
            <color indexed="81"/>
            <rFont val="Segoe UI"/>
            <family val="2"/>
          </rPr>
          <t>GW:</t>
        </r>
        <r>
          <rPr>
            <sz val="11"/>
            <color indexed="81"/>
            <rFont val="Segoe UI"/>
            <family val="2"/>
          </rPr>
          <t xml:space="preserve">
Ein Einspeiser behält auch im Fall eines Netzübergangs sein Referenzpreisblatt. 
Neue Einspeiser nach dem Netzübergang erhalten das Referenzpreisblatt des aktuellen Netzbetreibers (vgl. § 120 Abs. 4 EnWG)</t>
        </r>
      </text>
    </comment>
    <comment ref="M22" authorId="0" shapeId="0" xr:uid="{00000000-0006-0000-0600-00000E000000}">
      <text>
        <r>
          <rPr>
            <b/>
            <sz val="11"/>
            <color indexed="81"/>
            <rFont val="Tahoma"/>
            <family val="2"/>
          </rPr>
          <t>GW:</t>
        </r>
        <r>
          <rPr>
            <sz val="11"/>
            <color indexed="81"/>
            <rFont val="Tahoma"/>
            <family val="2"/>
          </rPr>
          <t xml:space="preserve">
</t>
        </r>
        <r>
          <rPr>
            <u/>
            <sz val="11"/>
            <color indexed="81"/>
            <rFont val="Tahoma"/>
            <family val="2"/>
          </rPr>
          <t>Bezug von der vorgelagerten Netzebene mit mehreren Preisen</t>
        </r>
        <r>
          <rPr>
            <sz val="11"/>
            <color indexed="81"/>
            <rFont val="Tahoma"/>
            <family val="2"/>
          </rPr>
          <t xml:space="preserve">
Gibt es für die vorgelagerte Netzebene mehrere Preise</t>
        </r>
        <r>
          <rPr>
            <u/>
            <sz val="11"/>
            <color indexed="81"/>
            <rFont val="Tahoma"/>
            <family val="2"/>
          </rPr>
          <t>,</t>
        </r>
        <r>
          <rPr>
            <sz val="11"/>
            <color indexed="81"/>
            <rFont val="Tahoma"/>
            <family val="2"/>
          </rPr>
          <t xml:space="preserve"> muss ein gewichteter Durchschnittspreis ermittelt werden. Dies gilt sowohl für das Preisblatt des betrachteten Jahres, als auch für das Referenzpreisblatt. Wurden von der vorgelagerten Netzebene die Mengen m</t>
        </r>
        <r>
          <rPr>
            <vertAlign val="subscript"/>
            <sz val="11"/>
            <color indexed="81"/>
            <rFont val="Tahoma"/>
            <family val="2"/>
          </rPr>
          <t>1</t>
        </r>
        <r>
          <rPr>
            <sz val="11"/>
            <color indexed="81"/>
            <rFont val="Tahoma"/>
            <family val="2"/>
          </rPr>
          <t>, m</t>
        </r>
        <r>
          <rPr>
            <vertAlign val="subscript"/>
            <sz val="11"/>
            <color indexed="81"/>
            <rFont val="Tahoma"/>
            <family val="2"/>
          </rPr>
          <t>2</t>
        </r>
        <r>
          <rPr>
            <sz val="11"/>
            <color indexed="81"/>
            <rFont val="Tahoma"/>
            <family val="2"/>
          </rPr>
          <t>, ... mit den Preisen p</t>
        </r>
        <r>
          <rPr>
            <vertAlign val="subscript"/>
            <sz val="11"/>
            <color indexed="81"/>
            <rFont val="Tahoma"/>
            <family val="2"/>
          </rPr>
          <t>1</t>
        </r>
        <r>
          <rPr>
            <sz val="11"/>
            <color indexed="81"/>
            <rFont val="Tahoma"/>
            <family val="2"/>
          </rPr>
          <t>, p</t>
        </r>
        <r>
          <rPr>
            <vertAlign val="subscript"/>
            <sz val="11"/>
            <color indexed="81"/>
            <rFont val="Tahoma"/>
            <family val="2"/>
          </rPr>
          <t>2</t>
        </r>
        <r>
          <rPr>
            <sz val="11"/>
            <color indexed="81"/>
            <rFont val="Tahoma"/>
            <family val="2"/>
          </rPr>
          <t>, ... bezogen ergibt sich der gewichtete Durchschnittspreis zu
(m</t>
        </r>
        <r>
          <rPr>
            <vertAlign val="subscript"/>
            <sz val="11"/>
            <color indexed="81"/>
            <rFont val="Tahoma"/>
            <family val="2"/>
          </rPr>
          <t>1</t>
        </r>
        <r>
          <rPr>
            <sz val="11"/>
            <color indexed="81"/>
            <rFont val="Tahoma"/>
            <family val="2"/>
          </rPr>
          <t>*p</t>
        </r>
        <r>
          <rPr>
            <vertAlign val="subscript"/>
            <sz val="11"/>
            <color indexed="81"/>
            <rFont val="Tahoma"/>
            <family val="2"/>
          </rPr>
          <t>1</t>
        </r>
        <r>
          <rPr>
            <sz val="11"/>
            <color indexed="81"/>
            <rFont val="Tahoma"/>
            <family val="2"/>
          </rPr>
          <t>+m</t>
        </r>
        <r>
          <rPr>
            <vertAlign val="subscript"/>
            <sz val="11"/>
            <color indexed="81"/>
            <rFont val="Tahoma"/>
            <family val="2"/>
          </rPr>
          <t>2</t>
        </r>
        <r>
          <rPr>
            <sz val="11"/>
            <color indexed="81"/>
            <rFont val="Tahoma"/>
            <family val="2"/>
          </rPr>
          <t>*p</t>
        </r>
        <r>
          <rPr>
            <vertAlign val="subscript"/>
            <sz val="11"/>
            <color indexed="81"/>
            <rFont val="Tahoma"/>
            <family val="2"/>
          </rPr>
          <t>2</t>
        </r>
        <r>
          <rPr>
            <sz val="11"/>
            <color indexed="81"/>
            <rFont val="Tahoma"/>
            <family val="2"/>
          </rPr>
          <t>+⋯) / (m</t>
        </r>
        <r>
          <rPr>
            <vertAlign val="subscript"/>
            <sz val="11"/>
            <color indexed="81"/>
            <rFont val="Tahoma"/>
            <family val="2"/>
          </rPr>
          <t>1</t>
        </r>
        <r>
          <rPr>
            <sz val="11"/>
            <color indexed="81"/>
            <rFont val="Tahoma"/>
            <family val="2"/>
          </rPr>
          <t>+m</t>
        </r>
        <r>
          <rPr>
            <vertAlign val="subscript"/>
            <sz val="11"/>
            <color indexed="81"/>
            <rFont val="Tahoma"/>
            <family val="2"/>
          </rPr>
          <t>2</t>
        </r>
        <r>
          <rPr>
            <sz val="11"/>
            <color indexed="81"/>
            <rFont val="Tahoma"/>
            <family val="2"/>
          </rPr>
          <t>+⋯)=m</t>
        </r>
        <r>
          <rPr>
            <vertAlign val="subscript"/>
            <sz val="11"/>
            <color indexed="81"/>
            <rFont val="Tahoma"/>
            <family val="2"/>
          </rPr>
          <t>1</t>
        </r>
        <r>
          <rPr>
            <sz val="11"/>
            <color indexed="81"/>
            <rFont val="Tahoma"/>
            <family val="2"/>
          </rPr>
          <t>/(m</t>
        </r>
        <r>
          <rPr>
            <vertAlign val="subscript"/>
            <sz val="11"/>
            <color indexed="81"/>
            <rFont val="Tahoma"/>
            <family val="2"/>
          </rPr>
          <t>1</t>
        </r>
        <r>
          <rPr>
            <sz val="11"/>
            <color indexed="81"/>
            <rFont val="Tahoma"/>
            <family val="2"/>
          </rPr>
          <t>+m</t>
        </r>
        <r>
          <rPr>
            <vertAlign val="subscript"/>
            <sz val="11"/>
            <color indexed="81"/>
            <rFont val="Tahoma"/>
            <family val="2"/>
          </rPr>
          <t>2</t>
        </r>
        <r>
          <rPr>
            <sz val="11"/>
            <color indexed="81"/>
            <rFont val="Tahoma"/>
            <family val="2"/>
          </rPr>
          <t>+⋯) * p</t>
        </r>
        <r>
          <rPr>
            <vertAlign val="subscript"/>
            <sz val="11"/>
            <color indexed="81"/>
            <rFont val="Tahoma"/>
            <family val="2"/>
          </rPr>
          <t xml:space="preserve">1 </t>
        </r>
        <r>
          <rPr>
            <sz val="11"/>
            <color indexed="81"/>
            <rFont val="Tahoma"/>
            <family val="2"/>
          </rPr>
          <t>+ m</t>
        </r>
        <r>
          <rPr>
            <vertAlign val="subscript"/>
            <sz val="11"/>
            <color indexed="81"/>
            <rFont val="Tahoma"/>
            <family val="2"/>
          </rPr>
          <t>2</t>
        </r>
        <r>
          <rPr>
            <sz val="11"/>
            <color indexed="81"/>
            <rFont val="Tahoma"/>
            <family val="2"/>
          </rPr>
          <t>/(m</t>
        </r>
        <r>
          <rPr>
            <vertAlign val="subscript"/>
            <sz val="11"/>
            <color indexed="81"/>
            <rFont val="Tahoma"/>
            <family val="2"/>
          </rPr>
          <t>1</t>
        </r>
        <r>
          <rPr>
            <sz val="11"/>
            <color indexed="81"/>
            <rFont val="Tahoma"/>
            <family val="2"/>
          </rPr>
          <t>+m</t>
        </r>
        <r>
          <rPr>
            <vertAlign val="subscript"/>
            <sz val="11"/>
            <color indexed="81"/>
            <rFont val="Tahoma"/>
            <family val="2"/>
          </rPr>
          <t>2</t>
        </r>
        <r>
          <rPr>
            <sz val="11"/>
            <color indexed="81"/>
            <rFont val="Tahoma"/>
            <family val="2"/>
          </rPr>
          <t>+⋯) * p</t>
        </r>
        <r>
          <rPr>
            <vertAlign val="subscript"/>
            <sz val="11"/>
            <color indexed="81"/>
            <rFont val="Tahoma"/>
            <family val="2"/>
          </rPr>
          <t>2</t>
        </r>
        <r>
          <rPr>
            <sz val="11"/>
            <color indexed="81"/>
            <rFont val="Tahoma"/>
            <family val="2"/>
          </rPr>
          <t xml:space="preserve"> +⋯
Im Fall mehrerer Preise für die vorgelagere Netzebene ändert sich das Referenzpreisblatt von Jahr zu Jahr, da sich die Gewichtung der zugrunde zu legenden Referenzpreisblätter von Jahr zu Jahr ändert.
</t>
        </r>
        <r>
          <rPr>
            <u/>
            <sz val="11"/>
            <color indexed="81"/>
            <rFont val="Tahoma"/>
            <family val="2"/>
          </rPr>
          <t>Pancaking (Bezug von dergleichen Netzebene)</t>
        </r>
        <r>
          <rPr>
            <sz val="11"/>
            <color indexed="81"/>
            <rFont val="Tahoma"/>
            <family val="2"/>
          </rPr>
          <t xml:space="preserve">
Es </t>
        </r>
        <r>
          <rPr>
            <i/>
            <sz val="11"/>
            <color indexed="81"/>
            <rFont val="Tahoma"/>
            <family val="2"/>
          </rPr>
          <t>können</t>
        </r>
        <r>
          <rPr>
            <sz val="11"/>
            <color indexed="81"/>
            <rFont val="Tahoma"/>
            <family val="2"/>
          </rPr>
          <t xml:space="preserve"> auch dann die Referenzpreise des vorgelagerten Netzes herangezogen werden, wenn die vorgelagerte Ebene und die Einspeiseebene identisch sind  (Hinweise der BNetzA für Verteilernetzbetreiber zur Anpassung der Erlösobergrenze für 2019, dort Punkt 11.2.4). 
Aus Gründen der Gleichbehandlung </t>
        </r>
        <r>
          <rPr>
            <i/>
            <sz val="11"/>
            <color indexed="81"/>
            <rFont val="Tahoma"/>
            <family val="2"/>
          </rPr>
          <t>sind</t>
        </r>
        <r>
          <rPr>
            <sz val="11"/>
            <color indexed="81"/>
            <rFont val="Tahoma"/>
            <family val="2"/>
          </rPr>
          <t xml:space="preserve"> m. E. 
- immer die Netzentgelte des vorgelagerten Netzes heranzuziehen, auch wenn die vorgelagerte Ebene und die Einspeiseebene identisch sind.
- die tatsächlich gezahlten Netzentgelte heranzuziehen, auch wenn den Einspeisern ein eventuell vorliegender Rabatt auf die regulären vorgelagerten Netzentgelten infolge einer Pancaking-Vereinbarung nicht bekannt ist.
Ein Rabatt auf die regulären vorgelagerten Netzentgelte ist auf das Referenzpreisblatt zu übertragen.
</t>
        </r>
        <r>
          <rPr>
            <u/>
            <sz val="11"/>
            <color indexed="81"/>
            <rFont val="Tahoma"/>
            <family val="2"/>
          </rPr>
          <t>Bezug von der vorgelagerten und von dergleichen Netzebene</t>
        </r>
        <r>
          <rPr>
            <sz val="11"/>
            <color indexed="81"/>
            <rFont val="Tahoma"/>
            <family val="2"/>
          </rPr>
          <t xml:space="preserve">
Auch beim Bezug von der vorgelagerten und von dergleichen Netzebene via Pancaking ist wie beim Bezug von der vorgelagerten Netzebene mit mehreren Preisen ein gewichteter Durchschnittspreis zu bilden. In den Durchschnittspreis gehen die Preise von verschiedenen Netzebenen ein.
Auch wenn tatsächlich mit dem </t>
        </r>
        <r>
          <rPr>
            <u/>
            <sz val="11"/>
            <color indexed="81"/>
            <rFont val="Tahoma"/>
            <family val="2"/>
          </rPr>
          <t>Preis kleiner 2.500 h</t>
        </r>
        <r>
          <rPr>
            <sz val="11"/>
            <color indexed="81"/>
            <rFont val="Tahoma"/>
            <family val="2"/>
          </rPr>
          <t xml:space="preserve"> bezogen wird, ist der Preis über 2.500 h heranzuziehen (Hinweise der BNetzA für Verteilernetzbetreiber zur Anpassung der Erlösobergrenze für 2019, dort Punkt 11.2.1).
</t>
        </r>
      </text>
    </comment>
    <comment ref="N22" authorId="0" shapeId="0" xr:uid="{00000000-0006-0000-0600-00000F000000}">
      <text>
        <r>
          <rPr>
            <b/>
            <sz val="11"/>
            <color indexed="81"/>
            <rFont val="Tahoma"/>
            <family val="2"/>
          </rPr>
          <t>GW:</t>
        </r>
        <r>
          <rPr>
            <sz val="11"/>
            <color indexed="81"/>
            <rFont val="Tahoma"/>
            <family val="2"/>
          </rPr>
          <t xml:space="preserve">
</t>
        </r>
        <r>
          <rPr>
            <u/>
            <sz val="11"/>
            <color indexed="81"/>
            <rFont val="Tahoma"/>
            <family val="2"/>
          </rPr>
          <t>Bezug von der vorgelagerten Netzebene mit mehreren Preisen</t>
        </r>
        <r>
          <rPr>
            <sz val="11"/>
            <color indexed="81"/>
            <rFont val="Tahoma"/>
            <family val="2"/>
          </rPr>
          <t xml:space="preserve">
Gibt es für die vorgelagerte Netzebene mehrere Preise</t>
        </r>
        <r>
          <rPr>
            <u/>
            <sz val="11"/>
            <color indexed="81"/>
            <rFont val="Tahoma"/>
            <family val="2"/>
          </rPr>
          <t>,</t>
        </r>
        <r>
          <rPr>
            <sz val="11"/>
            <color indexed="81"/>
            <rFont val="Tahoma"/>
            <family val="2"/>
          </rPr>
          <t xml:space="preserve"> muss ein gewichteter Durchschnittspreis ermittelt werden. Dies gilt sowohl für das Preisblatt des betrachteten Jahres, als auch für das Referenzpreisblatt. Wurden von der vorgelagerten Netzebene die Mengen m</t>
        </r>
        <r>
          <rPr>
            <vertAlign val="subscript"/>
            <sz val="11"/>
            <color indexed="81"/>
            <rFont val="Tahoma"/>
            <family val="2"/>
          </rPr>
          <t>1</t>
        </r>
        <r>
          <rPr>
            <sz val="11"/>
            <color indexed="81"/>
            <rFont val="Tahoma"/>
            <family val="2"/>
          </rPr>
          <t>, m</t>
        </r>
        <r>
          <rPr>
            <vertAlign val="subscript"/>
            <sz val="11"/>
            <color indexed="81"/>
            <rFont val="Tahoma"/>
            <family val="2"/>
          </rPr>
          <t>2</t>
        </r>
        <r>
          <rPr>
            <sz val="11"/>
            <color indexed="81"/>
            <rFont val="Tahoma"/>
            <family val="2"/>
          </rPr>
          <t>, ... mit den Preisen p</t>
        </r>
        <r>
          <rPr>
            <vertAlign val="subscript"/>
            <sz val="11"/>
            <color indexed="81"/>
            <rFont val="Tahoma"/>
            <family val="2"/>
          </rPr>
          <t>1</t>
        </r>
        <r>
          <rPr>
            <sz val="11"/>
            <color indexed="81"/>
            <rFont val="Tahoma"/>
            <family val="2"/>
          </rPr>
          <t>, p</t>
        </r>
        <r>
          <rPr>
            <vertAlign val="subscript"/>
            <sz val="11"/>
            <color indexed="81"/>
            <rFont val="Tahoma"/>
            <family val="2"/>
          </rPr>
          <t>2</t>
        </r>
        <r>
          <rPr>
            <sz val="11"/>
            <color indexed="81"/>
            <rFont val="Tahoma"/>
            <family val="2"/>
          </rPr>
          <t>, ... bezogen ergibt sich der gewichtete Durchschnittspreis zu
(m</t>
        </r>
        <r>
          <rPr>
            <vertAlign val="subscript"/>
            <sz val="11"/>
            <color indexed="81"/>
            <rFont val="Tahoma"/>
            <family val="2"/>
          </rPr>
          <t>1</t>
        </r>
        <r>
          <rPr>
            <sz val="11"/>
            <color indexed="81"/>
            <rFont val="Tahoma"/>
            <family val="2"/>
          </rPr>
          <t>*p</t>
        </r>
        <r>
          <rPr>
            <vertAlign val="subscript"/>
            <sz val="11"/>
            <color indexed="81"/>
            <rFont val="Tahoma"/>
            <family val="2"/>
          </rPr>
          <t>1</t>
        </r>
        <r>
          <rPr>
            <sz val="11"/>
            <color indexed="81"/>
            <rFont val="Tahoma"/>
            <family val="2"/>
          </rPr>
          <t>+m</t>
        </r>
        <r>
          <rPr>
            <vertAlign val="subscript"/>
            <sz val="11"/>
            <color indexed="81"/>
            <rFont val="Tahoma"/>
            <family val="2"/>
          </rPr>
          <t>2</t>
        </r>
        <r>
          <rPr>
            <sz val="11"/>
            <color indexed="81"/>
            <rFont val="Tahoma"/>
            <family val="2"/>
          </rPr>
          <t>*p</t>
        </r>
        <r>
          <rPr>
            <vertAlign val="subscript"/>
            <sz val="11"/>
            <color indexed="81"/>
            <rFont val="Tahoma"/>
            <family val="2"/>
          </rPr>
          <t>2</t>
        </r>
        <r>
          <rPr>
            <sz val="11"/>
            <color indexed="81"/>
            <rFont val="Tahoma"/>
            <family val="2"/>
          </rPr>
          <t>+⋯) / (m</t>
        </r>
        <r>
          <rPr>
            <vertAlign val="subscript"/>
            <sz val="11"/>
            <color indexed="81"/>
            <rFont val="Tahoma"/>
            <family val="2"/>
          </rPr>
          <t>1</t>
        </r>
        <r>
          <rPr>
            <sz val="11"/>
            <color indexed="81"/>
            <rFont val="Tahoma"/>
            <family val="2"/>
          </rPr>
          <t>+m</t>
        </r>
        <r>
          <rPr>
            <vertAlign val="subscript"/>
            <sz val="11"/>
            <color indexed="81"/>
            <rFont val="Tahoma"/>
            <family val="2"/>
          </rPr>
          <t>2</t>
        </r>
        <r>
          <rPr>
            <sz val="11"/>
            <color indexed="81"/>
            <rFont val="Tahoma"/>
            <family val="2"/>
          </rPr>
          <t>+⋯)=m</t>
        </r>
        <r>
          <rPr>
            <vertAlign val="subscript"/>
            <sz val="11"/>
            <color indexed="81"/>
            <rFont val="Tahoma"/>
            <family val="2"/>
          </rPr>
          <t>1</t>
        </r>
        <r>
          <rPr>
            <sz val="11"/>
            <color indexed="81"/>
            <rFont val="Tahoma"/>
            <family val="2"/>
          </rPr>
          <t>/(m</t>
        </r>
        <r>
          <rPr>
            <vertAlign val="subscript"/>
            <sz val="11"/>
            <color indexed="81"/>
            <rFont val="Tahoma"/>
            <family val="2"/>
          </rPr>
          <t>1</t>
        </r>
        <r>
          <rPr>
            <sz val="11"/>
            <color indexed="81"/>
            <rFont val="Tahoma"/>
            <family val="2"/>
          </rPr>
          <t>+m</t>
        </r>
        <r>
          <rPr>
            <vertAlign val="subscript"/>
            <sz val="11"/>
            <color indexed="81"/>
            <rFont val="Tahoma"/>
            <family val="2"/>
          </rPr>
          <t>2</t>
        </r>
        <r>
          <rPr>
            <sz val="11"/>
            <color indexed="81"/>
            <rFont val="Tahoma"/>
            <family val="2"/>
          </rPr>
          <t>+⋯) * p</t>
        </r>
        <r>
          <rPr>
            <vertAlign val="subscript"/>
            <sz val="11"/>
            <color indexed="81"/>
            <rFont val="Tahoma"/>
            <family val="2"/>
          </rPr>
          <t xml:space="preserve">1 </t>
        </r>
        <r>
          <rPr>
            <sz val="11"/>
            <color indexed="81"/>
            <rFont val="Tahoma"/>
            <family val="2"/>
          </rPr>
          <t>+ m</t>
        </r>
        <r>
          <rPr>
            <vertAlign val="subscript"/>
            <sz val="11"/>
            <color indexed="81"/>
            <rFont val="Tahoma"/>
            <family val="2"/>
          </rPr>
          <t>2</t>
        </r>
        <r>
          <rPr>
            <sz val="11"/>
            <color indexed="81"/>
            <rFont val="Tahoma"/>
            <family val="2"/>
          </rPr>
          <t>/(m</t>
        </r>
        <r>
          <rPr>
            <vertAlign val="subscript"/>
            <sz val="11"/>
            <color indexed="81"/>
            <rFont val="Tahoma"/>
            <family val="2"/>
          </rPr>
          <t>1</t>
        </r>
        <r>
          <rPr>
            <sz val="11"/>
            <color indexed="81"/>
            <rFont val="Tahoma"/>
            <family val="2"/>
          </rPr>
          <t>+m</t>
        </r>
        <r>
          <rPr>
            <vertAlign val="subscript"/>
            <sz val="11"/>
            <color indexed="81"/>
            <rFont val="Tahoma"/>
            <family val="2"/>
          </rPr>
          <t>2</t>
        </r>
        <r>
          <rPr>
            <sz val="11"/>
            <color indexed="81"/>
            <rFont val="Tahoma"/>
            <family val="2"/>
          </rPr>
          <t>+⋯) * p</t>
        </r>
        <r>
          <rPr>
            <vertAlign val="subscript"/>
            <sz val="11"/>
            <color indexed="81"/>
            <rFont val="Tahoma"/>
            <family val="2"/>
          </rPr>
          <t>2</t>
        </r>
        <r>
          <rPr>
            <sz val="11"/>
            <color indexed="81"/>
            <rFont val="Tahoma"/>
            <family val="2"/>
          </rPr>
          <t xml:space="preserve"> +⋯
Im Fall mehrerer Preise für die vorgelagere Netzebene ändert sich das Referenzpreisblatt von Jahr zu Jahr, da sich die Gewichtung der zugrunde zu legenden Referenzpreisblätter von Jahr zu Jahr ändert.
</t>
        </r>
        <r>
          <rPr>
            <u/>
            <sz val="11"/>
            <color indexed="81"/>
            <rFont val="Tahoma"/>
            <family val="2"/>
          </rPr>
          <t>Pancaking (Bezug von dergleichen Netzebene)</t>
        </r>
        <r>
          <rPr>
            <sz val="11"/>
            <color indexed="81"/>
            <rFont val="Tahoma"/>
            <family val="2"/>
          </rPr>
          <t xml:space="preserve">
Es </t>
        </r>
        <r>
          <rPr>
            <i/>
            <sz val="11"/>
            <color indexed="81"/>
            <rFont val="Tahoma"/>
            <family val="2"/>
          </rPr>
          <t>können</t>
        </r>
        <r>
          <rPr>
            <sz val="11"/>
            <color indexed="81"/>
            <rFont val="Tahoma"/>
            <family val="2"/>
          </rPr>
          <t xml:space="preserve"> auch dann die Referenzpreise des vorgelagerten Netzes herangezogen werden, wenn die vorgelagerte Ebene und die Einspeiseebene identisch sind  (Hinweise der BNetzA für Verteilernetzbetreiber zur Anpassung der Erlösobergrenze für 2019, dort Punkt 11.2.4). 
Aus Gründen der Gleichbehandlung </t>
        </r>
        <r>
          <rPr>
            <i/>
            <sz val="11"/>
            <color indexed="81"/>
            <rFont val="Tahoma"/>
            <family val="2"/>
          </rPr>
          <t>sind</t>
        </r>
        <r>
          <rPr>
            <sz val="11"/>
            <color indexed="81"/>
            <rFont val="Tahoma"/>
            <family val="2"/>
          </rPr>
          <t xml:space="preserve"> m. E. 
- immer die Netzentgelte des vorgelagerten Netzes heranzuziehen, auch wenn die vorgelagerte Ebene und die Einspeiseebene identisch sind.
- die tatsächlich gezahlten Netzentgelte heranzuziehen, auch wenn den Einspeisern ein eventuell vorliegender Rabatt auf die regulären vorgelagerten Netzentgelten infolge einer Pancaking-Vereinbarung nicht bekannt ist.
Ein Rabatt auf die regulären vorgelagerten Netzentgelte ist auf das Referenzpreisblatt zu übertragen.
</t>
        </r>
        <r>
          <rPr>
            <u/>
            <sz val="11"/>
            <color indexed="81"/>
            <rFont val="Tahoma"/>
            <family val="2"/>
          </rPr>
          <t>Bezug von der vorgelagerten und von dergleichen Netzebene</t>
        </r>
        <r>
          <rPr>
            <sz val="11"/>
            <color indexed="81"/>
            <rFont val="Tahoma"/>
            <family val="2"/>
          </rPr>
          <t xml:space="preserve">
Auch beim Bezug von der vorgelagerten und von dergleichen Netzebene via Pancaking ist wie beim Bezug von der vorgelagerten Netzebene mit mehreren Preisen ein gewichteter Durchschnittspreis zu bilden. In den Durchschnittspreis gehen die Preise von verschiedenen Netzebenen ein.
Auch wenn tatsächlich mit dem </t>
        </r>
        <r>
          <rPr>
            <u/>
            <sz val="11"/>
            <color indexed="81"/>
            <rFont val="Tahoma"/>
            <family val="2"/>
          </rPr>
          <t>Preis kleiner 2.500 h</t>
        </r>
        <r>
          <rPr>
            <sz val="11"/>
            <color indexed="81"/>
            <rFont val="Tahoma"/>
            <family val="2"/>
          </rPr>
          <t xml:space="preserve"> bezogen wird, ist der Preis über 2.500 h heranzuziehen (Hinweise der BNetzA für Verteilernetzbetreiber zur Anpassung der Erlösobergrenze für 2019, dort Punkt 11.2.1).
</t>
        </r>
      </text>
    </comment>
    <comment ref="C28" authorId="0" shapeId="0" xr:uid="{00000000-0006-0000-0600-000010000000}">
      <text>
        <r>
          <rPr>
            <b/>
            <sz val="11"/>
            <color indexed="81"/>
            <rFont val="Tahoma"/>
            <family val="2"/>
          </rPr>
          <t>GW:</t>
        </r>
        <r>
          <rPr>
            <sz val="11"/>
            <color indexed="81"/>
            <rFont val="Tahoma"/>
            <family val="2"/>
          </rPr>
          <t xml:space="preserve">
Das Verfahren im VDN-Leitfaden sieht einen (einheitlichen) Anteilsfaktor </t>
        </r>
        <r>
          <rPr>
            <i/>
            <sz val="11"/>
            <color indexed="81"/>
            <rFont val="Tahoma"/>
            <family val="2"/>
          </rPr>
          <t>a</t>
        </r>
        <r>
          <rPr>
            <sz val="11"/>
            <color indexed="81"/>
            <rFont val="Tahoma"/>
            <family val="2"/>
          </rPr>
          <t xml:space="preserve"> (= </t>
        </r>
        <r>
          <rPr>
            <i/>
            <sz val="11"/>
            <color indexed="81"/>
            <rFont val="Tahoma"/>
            <family val="2"/>
          </rPr>
          <t>a</t>
        </r>
        <r>
          <rPr>
            <i/>
            <vertAlign val="superscript"/>
            <sz val="11"/>
            <color indexed="81"/>
            <rFont val="Tahoma"/>
            <family val="2"/>
          </rPr>
          <t>L</t>
        </r>
        <r>
          <rPr>
            <sz val="11"/>
            <color indexed="81"/>
            <rFont val="Tahoma"/>
            <family val="2"/>
          </rPr>
          <t xml:space="preserve"> = </t>
        </r>
        <r>
          <rPr>
            <i/>
            <sz val="11"/>
            <color indexed="81"/>
            <rFont val="Tahoma"/>
            <family val="2"/>
          </rPr>
          <t>a</t>
        </r>
        <r>
          <rPr>
            <i/>
            <vertAlign val="superscript"/>
            <sz val="11"/>
            <color indexed="81"/>
            <rFont val="Tahoma"/>
            <family val="2"/>
          </rPr>
          <t>nL</t>
        </r>
        <r>
          <rPr>
            <sz val="11"/>
            <color indexed="81"/>
            <rFont val="Tahoma"/>
            <family val="2"/>
          </rPr>
          <t xml:space="preserve">) vor, der die verstetige Leistung der leistungsgemessenen Einspeiser mit verstetigter Bewertung und die verstetigte Leistung der nicht leistungsgemessenen Einspeisern so umrechnet, dass sich der für diese Einspeiser ergebende Leistungswert zum Zeitpunkt </t>
        </r>
        <r>
          <rPr>
            <i/>
            <sz val="11"/>
            <color indexed="81"/>
            <rFont val="Tahoma"/>
            <family val="2"/>
          </rPr>
          <t>t</t>
        </r>
        <r>
          <rPr>
            <i/>
            <vertAlign val="subscript"/>
            <sz val="11"/>
            <color indexed="81"/>
            <rFont val="Tahoma"/>
            <family val="2"/>
          </rPr>
          <t>E</t>
        </r>
        <r>
          <rPr>
            <i/>
            <sz val="11"/>
            <color indexed="81"/>
            <rFont val="Tahoma"/>
            <family val="2"/>
          </rPr>
          <t xml:space="preserve"> </t>
        </r>
        <r>
          <rPr>
            <sz val="11"/>
            <color indexed="81"/>
            <rFont val="Tahoma"/>
            <family val="2"/>
          </rPr>
          <t>ergibt.
Verursachungsgerechter ist es, die Gruppe der leistungsgemessenen Einspeiser mit verstetigter Bewertung und die Gruppe der nicht leistungsgemessenen Einspeiser getrennt zu betrachten und für beide Gruppen jeweils einen Anteilsfaktor zu bestimmen. Im Ergebnis kommt es dann nur auf den Anteilsfaktor für leistungsgemessene Einspeiser mit verstetigter Bewertung an. Die verstetigte Leistung der nicht leistungsgemessenen Einspeiser multipliziert mit dem Anteilsfaktor für nicht leistungsgemessene Einspeiser wird nämlich nach § 18 Abs. 3 Satz 3 StromNEV nicht vergütet. 
Bei diesem Verfahren entfallen auf die Gruppe der leistungsgemessenen Einspeiser immer dieselben vermNE, unabhängig davon, wie viele leistungsgemessene Einspeiser eine Verstetigung wählen. Gibt es nur einen leistungsgemessenen Einspeiser mit verstetigter Bewertung, sind die rechnerische Leistung zum Zeitpunkt</t>
        </r>
        <r>
          <rPr>
            <i/>
            <sz val="11"/>
            <color indexed="81"/>
            <rFont val="Tahoma"/>
            <family val="2"/>
          </rPr>
          <t xml:space="preserve"> t</t>
        </r>
        <r>
          <rPr>
            <i/>
            <vertAlign val="subscript"/>
            <sz val="11"/>
            <color indexed="81"/>
            <rFont val="Tahoma"/>
            <family val="2"/>
          </rPr>
          <t>E</t>
        </r>
        <r>
          <rPr>
            <sz val="11"/>
            <color indexed="81"/>
            <rFont val="Tahoma"/>
            <family val="2"/>
          </rPr>
          <t xml:space="preserve"> und die gemessene Leistung zum Zeitpunkt </t>
        </r>
        <r>
          <rPr>
            <i/>
            <sz val="11"/>
            <color indexed="81"/>
            <rFont val="Tahoma"/>
            <family val="2"/>
          </rPr>
          <t>t</t>
        </r>
        <r>
          <rPr>
            <i/>
            <vertAlign val="subscript"/>
            <sz val="11"/>
            <color indexed="81"/>
            <rFont val="Tahoma"/>
            <family val="2"/>
          </rPr>
          <t>E</t>
        </r>
        <r>
          <rPr>
            <sz val="11"/>
            <color indexed="81"/>
            <rFont val="Tahoma"/>
            <family val="2"/>
          </rPr>
          <t xml:space="preserve"> identisch.
Dieses Tool unterstützt nur (noch) das verursachungsgerechte Verfahren mit 2 Anteilsfaktoren. </t>
        </r>
      </text>
    </comment>
    <comment ref="G28" authorId="0" shapeId="0" xr:uid="{00000000-0006-0000-0600-000011000000}">
      <text>
        <r>
          <rPr>
            <b/>
            <sz val="11"/>
            <color indexed="81"/>
            <rFont val="Segoe UI"/>
            <family val="2"/>
          </rPr>
          <t>GW:</t>
        </r>
        <r>
          <rPr>
            <sz val="11"/>
            <color indexed="81"/>
            <rFont val="Segoe UI"/>
            <family val="2"/>
          </rPr>
          <t xml:space="preserve">
§ 120 Abs. 4 EnWG: </t>
        </r>
        <r>
          <rPr>
            <vertAlign val="superscript"/>
            <sz val="11"/>
            <color indexed="81"/>
            <rFont val="Segoe UI"/>
            <family val="2"/>
          </rPr>
          <t>1</t>
        </r>
        <r>
          <rPr>
            <sz val="11"/>
            <color indexed="81"/>
            <rFont val="Segoe UI"/>
            <family val="2"/>
          </rPr>
          <t xml:space="preserve">Bei der Ermittlung der Entgelte für dezentrale Einspeisungen, die für den Zeitraum ab dem 1. Januar 2018 gezahlt werden, sind als Obergrenze diejenigen Netzentgelte der vorgelagerten Netz- oder Umspannebene zugrunde zu legen, die für diese Netz- oder Umspannebene am 31. Dezember 2016 anzuwenden waren. </t>
        </r>
        <r>
          <rPr>
            <vertAlign val="superscript"/>
            <sz val="11"/>
            <color indexed="81"/>
            <rFont val="Segoe UI"/>
            <family val="2"/>
          </rPr>
          <t>2</t>
        </r>
        <r>
          <rPr>
            <sz val="11"/>
            <color indexed="81"/>
            <rFont val="Segoe UI"/>
            <family val="2"/>
          </rPr>
          <t xml:space="preserve">Satz 1 ist auch für Erzeugungsanlagen anzuwenden, die nach dem 31. Dezember 2016 in Betrieb genommen worden sind oder werden.
§ 120 Abs. 5 Sätze 1 und 2 EnWG: </t>
        </r>
        <r>
          <rPr>
            <vertAlign val="superscript"/>
            <sz val="11"/>
            <color indexed="81"/>
            <rFont val="Segoe UI"/>
            <family val="2"/>
          </rPr>
          <t>1</t>
        </r>
        <r>
          <rPr>
            <sz val="11"/>
            <color indexed="81"/>
            <rFont val="Segoe UI"/>
            <family val="2"/>
          </rPr>
          <t xml:space="preserve">Bei der Ermittlung der Obergrenzen nach Absatz 4 sind ab dem 1. Januar 2018 von den Erlösobergrenzen der jeweiligen Übertragungsnetzbetreiber, so wie sie den jeweiligen Netzentgelten für das Kalenderjahr 2016 zugrunde lagen, die Kostenbestandteile nach § 17d Absatz 7 dieses Gesetzes und § 2 Absatz 5 des Energieleitungsausbaugesetzes in der bis zum Ablauf des 28. Dezember 2023 geltenden Fassung in Abzug zu bringen, die in die Netzentgelte eingeflossen sind. </t>
        </r>
        <r>
          <rPr>
            <vertAlign val="superscript"/>
            <sz val="11"/>
            <color indexed="81"/>
            <rFont val="Segoe UI"/>
            <family val="2"/>
          </rPr>
          <t>2</t>
        </r>
        <r>
          <rPr>
            <sz val="11"/>
            <color indexed="81"/>
            <rFont val="Segoe UI"/>
            <family val="2"/>
          </rPr>
          <t>Für die Zwecke der Berechnungsgrundlage zur Ermittlung der Entgelte für dezentrale Einspeisungen sind die Netzentgelte für das Kalenderjahr 2016 auf dieser Grundlage neu zu berechnen.</t>
        </r>
      </text>
    </comment>
    <comment ref="C29" authorId="0" shapeId="0" xr:uid="{00000000-0006-0000-0600-000012000000}">
      <text>
        <r>
          <rPr>
            <b/>
            <sz val="11"/>
            <color indexed="81"/>
            <rFont val="Tahoma"/>
            <family val="2"/>
          </rPr>
          <t>GW:</t>
        </r>
        <r>
          <rPr>
            <sz val="11"/>
            <color indexed="81"/>
            <rFont val="Tahoma"/>
            <family val="2"/>
          </rPr>
          <t xml:space="preserve">
0 ≤ </t>
        </r>
        <r>
          <rPr>
            <i/>
            <sz val="11"/>
            <color indexed="81"/>
            <rFont val="Tahoma"/>
            <family val="2"/>
          </rPr>
          <t>a</t>
        </r>
        <r>
          <rPr>
            <sz val="11"/>
            <color indexed="81"/>
            <rFont val="Tahoma"/>
            <family val="2"/>
          </rPr>
          <t xml:space="preserve">, der Anteilsfaktor kann insbesonder auch größer als 1 sein.
</t>
        </r>
      </text>
    </comment>
    <comment ref="T29" authorId="1" shapeId="0" xr:uid="{00000000-0006-0000-0600-000013000000}">
      <text>
        <r>
          <rPr>
            <b/>
            <sz val="11"/>
            <color indexed="81"/>
            <rFont val="Segoe UI"/>
            <family val="2"/>
          </rPr>
          <t xml:space="preserve">Auburger, Kilian (Reg </t>
        </r>
        <r>
          <rPr>
            <b/>
            <sz val="11"/>
            <color indexed="81"/>
            <rFont val="Tahoma"/>
            <family val="2"/>
          </rPr>
          <t>Oberpfalz):</t>
        </r>
        <r>
          <rPr>
            <sz val="11"/>
            <color indexed="81"/>
            <rFont val="Tahoma"/>
            <family val="2"/>
          </rPr>
          <t xml:space="preserve">
Siehe Kasten zur Netzreservekapazität (NRK) im Register "Allgemeines".</t>
        </r>
      </text>
    </comment>
    <comment ref="C30" authorId="0" shapeId="0" xr:uid="{00000000-0006-0000-0600-000014000000}">
      <text>
        <r>
          <rPr>
            <b/>
            <sz val="11"/>
            <color indexed="81"/>
            <rFont val="Tahoma"/>
            <family val="2"/>
          </rPr>
          <t>GW:</t>
        </r>
        <r>
          <rPr>
            <sz val="11"/>
            <color indexed="81"/>
            <rFont val="Tahoma"/>
            <family val="2"/>
          </rPr>
          <t xml:space="preserve">
0 ≤ </t>
        </r>
        <r>
          <rPr>
            <i/>
            <sz val="11"/>
            <color indexed="81"/>
            <rFont val="Tahoma"/>
            <family val="2"/>
          </rPr>
          <t>a</t>
        </r>
        <r>
          <rPr>
            <sz val="11"/>
            <color indexed="81"/>
            <rFont val="Tahoma"/>
            <family val="2"/>
          </rPr>
          <t xml:space="preserve">, der Anteilsfaktor kann insbesonder auch größer als 1 sein.
</t>
        </r>
      </text>
    </comment>
    <comment ref="A31" authorId="0" shapeId="0" xr:uid="{00000000-0006-0000-0600-000015000000}">
      <text>
        <r>
          <rPr>
            <b/>
            <sz val="11"/>
            <color indexed="81"/>
            <rFont val="Tahoma"/>
            <family val="2"/>
          </rPr>
          <t>GW:</t>
        </r>
        <r>
          <rPr>
            <sz val="11"/>
            <color indexed="81"/>
            <rFont val="Tahoma"/>
            <family val="2"/>
          </rPr>
          <t xml:space="preserve">
rechnet im ersten Bild den grünen Strich in den blauen Strich um</t>
        </r>
      </text>
    </comment>
    <comment ref="C31" authorId="0" shapeId="0" xr:uid="{00000000-0006-0000-0600-000016000000}">
      <text>
        <r>
          <rPr>
            <b/>
            <sz val="11"/>
            <color indexed="81"/>
            <rFont val="Tahoma"/>
            <family val="2"/>
          </rPr>
          <t>GW:</t>
        </r>
        <r>
          <rPr>
            <sz val="11"/>
            <color indexed="81"/>
            <rFont val="Tahoma"/>
            <family val="2"/>
          </rPr>
          <t xml:space="preserve">
0 ≤ </t>
        </r>
        <r>
          <rPr>
            <i/>
            <sz val="11"/>
            <color indexed="81"/>
            <rFont val="Tahoma"/>
            <family val="2"/>
          </rPr>
          <t>s</t>
        </r>
        <r>
          <rPr>
            <sz val="11"/>
            <color indexed="81"/>
            <rFont val="Tahoma"/>
            <family val="2"/>
          </rPr>
          <t xml:space="preserve"> ≤ 1
s = 0: keine tatsächliche Vermeidungsleistung in dieser Ebene des Netzbetreibers
s = 1: die Überspeisung zum Zeitpunkt </t>
        </r>
        <r>
          <rPr>
            <i/>
            <sz val="11"/>
            <color indexed="81"/>
            <rFont val="Tahoma"/>
            <family val="2"/>
          </rPr>
          <t>t</t>
        </r>
        <r>
          <rPr>
            <i/>
            <vertAlign val="subscript"/>
            <sz val="11"/>
            <color indexed="81"/>
            <rFont val="Tahoma"/>
            <family val="2"/>
          </rPr>
          <t>E</t>
        </r>
        <r>
          <rPr>
            <sz val="11"/>
            <color indexed="81"/>
            <rFont val="Tahoma"/>
            <family val="2"/>
          </rPr>
          <t xml:space="preserve"> ist 0 (</t>
        </r>
        <r>
          <rPr>
            <i/>
            <sz val="11"/>
            <color indexed="81"/>
            <rFont val="Tahoma"/>
            <family val="2"/>
          </rPr>
          <t>P</t>
        </r>
        <r>
          <rPr>
            <i/>
            <vertAlign val="subscript"/>
            <sz val="11"/>
            <color indexed="81"/>
            <rFont val="Tahoma"/>
            <family val="2"/>
          </rPr>
          <t>A,tE</t>
        </r>
        <r>
          <rPr>
            <sz val="11"/>
            <color indexed="81"/>
            <rFont val="Tahoma"/>
            <family val="2"/>
          </rPr>
          <t xml:space="preserve"> = 0) und die maximale Bezugslast und die Bezugslast zum Zeitpunkt </t>
        </r>
        <r>
          <rPr>
            <i/>
            <sz val="11"/>
            <color indexed="81"/>
            <rFont val="Tahoma"/>
            <family val="2"/>
          </rPr>
          <t>t</t>
        </r>
        <r>
          <rPr>
            <i/>
            <vertAlign val="subscript"/>
            <sz val="11"/>
            <color indexed="81"/>
            <rFont val="Tahoma"/>
            <family val="2"/>
          </rPr>
          <t>E</t>
        </r>
        <r>
          <rPr>
            <sz val="11"/>
            <color indexed="81"/>
            <rFont val="Tahoma"/>
            <family val="2"/>
          </rPr>
          <t xml:space="preserve"> sind identisch (</t>
        </r>
        <r>
          <rPr>
            <i/>
            <sz val="11"/>
            <color indexed="81"/>
            <rFont val="Tahoma"/>
            <family val="2"/>
          </rPr>
          <t>P</t>
        </r>
        <r>
          <rPr>
            <i/>
            <vertAlign val="subscript"/>
            <sz val="11"/>
            <color indexed="81"/>
            <rFont val="Tahoma"/>
            <family val="2"/>
          </rPr>
          <t>B,max</t>
        </r>
        <r>
          <rPr>
            <i/>
            <sz val="11"/>
            <color indexed="81"/>
            <rFont val="Tahoma"/>
            <family val="2"/>
          </rPr>
          <t xml:space="preserve"> = P</t>
        </r>
        <r>
          <rPr>
            <i/>
            <vertAlign val="subscript"/>
            <sz val="11"/>
            <color indexed="81"/>
            <rFont val="Tahoma"/>
            <family val="2"/>
          </rPr>
          <t>B,tE</t>
        </r>
        <r>
          <rPr>
            <i/>
            <sz val="11"/>
            <color indexed="81"/>
            <rFont val="Tahoma"/>
            <family val="2"/>
          </rPr>
          <t>)</t>
        </r>
      </text>
    </comment>
    <comment ref="A35" authorId="0" shapeId="0" xr:uid="{00000000-0006-0000-0600-000017000000}">
      <text>
        <r>
          <rPr>
            <b/>
            <sz val="11"/>
            <color indexed="81"/>
            <rFont val="Tahoma"/>
            <family val="2"/>
          </rPr>
          <t>GW:</t>
        </r>
        <r>
          <rPr>
            <sz val="11"/>
            <color indexed="81"/>
            <rFont val="Tahoma"/>
            <family val="2"/>
          </rPr>
          <t xml:space="preserve">
Leistungsgemessene Einspeiser müssen nur dann gesondert aufgeführt werden, wenn sie einen Beitrag zur Vermeidungsleistung liefern, d. h. wenn sie zum Zeitpunkt der Jahreshöchstlast der verlustbehafteten Spannungsebene tatsächlich einspeisen. 
EEG-Einspeiser mit zeitweiliger oder prozentualer sonstiger Direktvermarktung müssen zweimal aufgeführt werden (einmal als EEG-Anlage und einmal als sonstige Anlage), um einen Vergleich mit dem EEG-Testat zu ermöglichen.</t>
        </r>
        <r>
          <rPr>
            <sz val="9"/>
            <color indexed="81"/>
            <rFont val="Tahoma"/>
            <family val="2"/>
          </rPr>
          <t xml:space="preserve">
</t>
        </r>
      </text>
    </comment>
    <comment ref="B35" authorId="0" shapeId="0" xr:uid="{00000000-0006-0000-0600-000018000000}">
      <text>
        <r>
          <rPr>
            <b/>
            <sz val="11"/>
            <color indexed="81"/>
            <rFont val="Tahoma"/>
            <family val="2"/>
          </rPr>
          <t>GW:</t>
        </r>
        <r>
          <rPr>
            <sz val="11"/>
            <color indexed="81"/>
            <rFont val="Tahoma"/>
            <family val="2"/>
          </rPr>
          <t xml:space="preserve">
Das Eingabefeld erscheint rot, 
- falls keine Auswahl getroffen wurde, obwohl ein Arbeits- oder ein Leistungswert eingegeben wurde oder
- die getroffene Auswahl nicht zulässig ist (entsteht z. B. beim Kopieren)
Anlagen mit sonstiger Direktvermarktung sind zweimal zu erfassen. Die Arbeit ist nach tatsächlichem Anfall, die Leistung zeitanteilig einzugeben (Gleicher Ansicht: Anhang zum BDEW/VKU – Beiblatt zum Kalkulationsleitfaden
nach § 18 StromNEV (Direktvermarktung von Strom aus EEG-Anlagen vom 09.10.2009)).</t>
        </r>
      </text>
    </comment>
    <comment ref="C35" authorId="0" shapeId="0" xr:uid="{00000000-0006-0000-0600-000019000000}">
      <text>
        <r>
          <rPr>
            <b/>
            <sz val="11"/>
            <color indexed="81"/>
            <rFont val="Tahoma"/>
            <family val="2"/>
          </rPr>
          <t>GW:</t>
        </r>
        <r>
          <rPr>
            <sz val="11"/>
            <color indexed="81"/>
            <rFont val="Tahoma"/>
            <family val="2"/>
          </rPr>
          <t xml:space="preserve">
Bei Anlagen, die im Jahr 2017 oder früher in Betrieb genommen wurden, reicht es aus das Jahr 2017 einzugeben.
Das Auswahlfeld erscheint rot, wenn 
- eine Einspeiseart ausgewählt wurde und 
- weder ein Jahr der Inbetriebnahme noch ein passender Zeitraum der Inbetriebnahme eingegeben wurde.</t>
        </r>
      </text>
    </comment>
    <comment ref="D35" authorId="1" shapeId="0" xr:uid="{00000000-0006-0000-0600-00001A000000}">
      <text>
        <r>
          <rPr>
            <b/>
            <sz val="11"/>
            <color indexed="81"/>
            <rFont val="Tahoma"/>
            <family val="2"/>
          </rPr>
          <t>Auburger, Kilian (Reg Oberpfalz):</t>
        </r>
        <r>
          <rPr>
            <sz val="11"/>
            <color indexed="81"/>
            <rFont val="Tahoma"/>
            <family val="2"/>
          </rPr>
          <t xml:space="preserve">
Die fikitive Einspeisung des Selbstverbrauchs eines dezentralen Einspeisers ist nicht ansetzbar, da es bei der fiktiven Rücklieferung des Selbstverbrauchs eine Gegenposition in gleicher Höhe gibt. </t>
        </r>
      </text>
    </comment>
    <comment ref="F35" authorId="0" shapeId="0" xr:uid="{00000000-0006-0000-0600-00001B000000}">
      <text>
        <r>
          <rPr>
            <b/>
            <sz val="11"/>
            <color indexed="81"/>
            <rFont val="Tahoma"/>
            <family val="2"/>
          </rPr>
          <t>GW:</t>
        </r>
        <r>
          <rPr>
            <sz val="11"/>
            <color indexed="81"/>
            <rFont val="Tahoma"/>
            <family val="2"/>
          </rPr>
          <t xml:space="preserve">
Das Eingabefeld erscheint rot, 
- falls keine Auswahl getroffen wurde, obwohl ein Arbeits- oder ein Leistungswert eingegeben wurde oder
- falls der Einspeiser einen überwiegenden Anteil an der Vermeidungsleistung hat oder
- falls es sich um einen EEG-Einspeiser handelt und „j“ gewählt wurde.
Es ist meistens "n" zu wählen, da ein leistungsgemessener Einspeiser meistens auch seinen leistungsgemessenen Wert berücksichtigt haben möchte.
Der VDN-Leitfaden geht davon aus, dass sämtliche EEG-Anlagen verstetigt werden (Seite 5, letzter Satz). Wir halten dies weder für sachgerecht noch für verursachungsgerecht. Das Eingabefeld erscheint bei einer verstetigten EEG-Anlage deshalb rot. 
Würde ein EEG-Einspeiser eine Verstetigung wählen, würde dieser EEG-Einspeiser die vermNE der anderen leistungsgemessenen Einspeiser mit verstetigter Bewertung beeinflussen. Die Vergütung dieses EEG-Einspeisers würde sich aber nicht ändern, da sie sich nach dem EEG richtet. Insbesondere würde ein (volatiler) EEG-Einspeiser der zum Zeitpunkt der maximalen verlustbehafteten Entnahmelast nicht einspeist, die vermNE der anderen Einspeiser mit verstetigter Bewertung reduzieren. 
Im Tool können nur Einspeiser verstetigt werden, die keinen überwiegenden Anteil an der Vermeidungsleistung haben (vgl. § 18 Abs. 3 Satz 2 StromNEV).
Der </t>
        </r>
        <r>
          <rPr>
            <i/>
            <sz val="11"/>
            <color indexed="81"/>
            <rFont val="Tahoma"/>
            <family val="2"/>
          </rPr>
          <t>k</t>
        </r>
        <r>
          <rPr>
            <sz val="11"/>
            <color indexed="81"/>
            <rFont val="Tahoma"/>
            <family val="2"/>
          </rPr>
          <t xml:space="preserve">-te leistungsgemessene Einspeiser hat keinen überwiegenden Anteil an der Vermeidungsleistung, falls 2 * </t>
        </r>
        <r>
          <rPr>
            <i/>
            <sz val="11"/>
            <color indexed="81"/>
            <rFont val="Tahoma"/>
            <family val="2"/>
          </rPr>
          <t>P</t>
        </r>
        <r>
          <rPr>
            <i/>
            <vertAlign val="superscript"/>
            <sz val="11"/>
            <color indexed="81"/>
            <rFont val="Tahoma"/>
            <family val="2"/>
          </rPr>
          <t>k</t>
        </r>
        <r>
          <rPr>
            <i/>
            <vertAlign val="subscript"/>
            <sz val="11"/>
            <color indexed="81"/>
            <rFont val="Tahoma"/>
            <family val="2"/>
          </rPr>
          <t>i,tE</t>
        </r>
        <r>
          <rPr>
            <sz val="11"/>
            <color indexed="81"/>
            <rFont val="Tahoma"/>
            <family val="2"/>
          </rPr>
          <t xml:space="preserve"> &lt;= </t>
        </r>
        <r>
          <rPr>
            <i/>
            <sz val="11"/>
            <color indexed="81"/>
            <rFont val="Tahoma"/>
            <family val="2"/>
          </rPr>
          <t>P</t>
        </r>
        <r>
          <rPr>
            <i/>
            <vertAlign val="subscript"/>
            <sz val="11"/>
            <color indexed="81"/>
            <rFont val="Tahoma"/>
            <family val="2"/>
          </rPr>
          <t>verm,tE</t>
        </r>
        <r>
          <rPr>
            <sz val="11"/>
            <color indexed="81"/>
            <rFont val="Tahoma"/>
            <family val="2"/>
          </rPr>
          <t xml:space="preserve">. Nach dem Wortlaut der StromNEV wird auf die Vermeidungsleistung abgestellt, ohne klarzustellen, ob die Vermeidungsleistung zum Zeitpunkt </t>
        </r>
        <r>
          <rPr>
            <i/>
            <sz val="11"/>
            <color indexed="81"/>
            <rFont val="Tahoma"/>
            <family val="2"/>
          </rPr>
          <t>t</t>
        </r>
        <r>
          <rPr>
            <i/>
            <vertAlign val="subscript"/>
            <sz val="11"/>
            <color indexed="81"/>
            <rFont val="Tahoma"/>
            <family val="2"/>
          </rPr>
          <t>E</t>
        </r>
        <r>
          <rPr>
            <sz val="11"/>
            <color indexed="81"/>
            <rFont val="Tahoma"/>
            <family val="2"/>
          </rPr>
          <t xml:space="preserve"> oder die tatsächliche Vermeidungsleistung gemeint ist. Da ein Anteil anzuwenden ist und die Leistung des k-ten Einspeisers zum Zeitpunkt </t>
        </r>
        <r>
          <rPr>
            <i/>
            <sz val="11"/>
            <color indexed="81"/>
            <rFont val="Tahoma"/>
            <family val="2"/>
          </rPr>
          <t>t</t>
        </r>
        <r>
          <rPr>
            <i/>
            <vertAlign val="subscript"/>
            <sz val="11"/>
            <color indexed="81"/>
            <rFont val="Tahoma"/>
            <family val="2"/>
          </rPr>
          <t>E</t>
        </r>
        <r>
          <rPr>
            <i/>
            <sz val="11"/>
            <color indexed="81"/>
            <rFont val="Tahoma"/>
            <family val="2"/>
          </rPr>
          <t xml:space="preserve"> </t>
        </r>
        <r>
          <rPr>
            <sz val="11"/>
            <color indexed="81"/>
            <rFont val="Tahoma"/>
            <family val="2"/>
          </rPr>
          <t xml:space="preserve">herangezogen wird, muss die Vermeidungsleistung zum Zeitpunkt </t>
        </r>
        <r>
          <rPr>
            <i/>
            <sz val="11"/>
            <color indexed="81"/>
            <rFont val="Tahoma"/>
            <family val="2"/>
          </rPr>
          <t>t</t>
        </r>
        <r>
          <rPr>
            <i/>
            <vertAlign val="subscript"/>
            <sz val="11"/>
            <color indexed="81"/>
            <rFont val="Tahoma"/>
            <family val="2"/>
          </rPr>
          <t>E</t>
        </r>
        <r>
          <rPr>
            <sz val="11"/>
            <color indexed="81"/>
            <rFont val="Tahoma"/>
            <family val="2"/>
          </rPr>
          <t xml:space="preserve"> gemeint sein.
Das einmal gewählte Verfahren sollte über mehrere Jahre beibehalten werden.
In der Praxis finden sich z. B. beim Bayernwerk auch folgende Regelungen: 
- Keine Wahlmöglichkeit haben leistungsgemessene Einspeiser, bei denen die maximale Einspeiseleistung 2 MW (NE4, NE5, NE6 und NE7) bzw. 20 MW (NE2 und NE3) übersteigt.
- Einspeiser mit Wahlmöglichkeit müssen sich im Vorjahr bis spätestens 30.11. entscheiden, welches Verfahren sie gerne hätten.
</t>
        </r>
      </text>
    </comment>
    <comment ref="G35" authorId="0" shapeId="0" xr:uid="{00000000-0006-0000-0600-00001C000000}">
      <text>
        <r>
          <rPr>
            <b/>
            <sz val="11"/>
            <color indexed="81"/>
            <rFont val="Tahoma"/>
            <family val="2"/>
          </rPr>
          <t>GW:</t>
        </r>
        <r>
          <rPr>
            <sz val="11"/>
            <color indexed="81"/>
            <rFont val="Tahoma"/>
            <family val="2"/>
          </rPr>
          <t xml:space="preserve">
Diese Zahl wird auch bei einer Verstetigung benötigt, um zu überprüfen, ob der Einspeiser einen überwiegenden Anteil an der Vermeidungsleistung hat (vgl. § 18 Abs. 3 Satz 2).</t>
        </r>
      </text>
    </comment>
    <comment ref="H35" authorId="0" shapeId="0" xr:uid="{00000000-0006-0000-0600-00001D000000}">
      <text>
        <r>
          <rPr>
            <b/>
            <sz val="11"/>
            <color indexed="81"/>
            <rFont val="Arial"/>
            <family val="2"/>
          </rPr>
          <t>GW:</t>
        </r>
        <r>
          <rPr>
            <sz val="11"/>
            <color indexed="81"/>
            <rFont val="Arial"/>
            <family val="2"/>
          </rPr>
          <t xml:space="preserve">
(gemessene Leistung) oder
(verstetigte Leistung *  a</t>
        </r>
        <r>
          <rPr>
            <vertAlign val="superscript"/>
            <sz val="11"/>
            <color indexed="81"/>
            <rFont val="Arial"/>
            <family val="2"/>
          </rPr>
          <t>L</t>
        </r>
        <r>
          <rPr>
            <sz val="11"/>
            <color indexed="81"/>
            <rFont val="Arial"/>
            <family val="2"/>
          </rPr>
          <t xml:space="preserve"> bzw. a</t>
        </r>
        <r>
          <rPr>
            <vertAlign val="superscript"/>
            <sz val="11"/>
            <color indexed="81"/>
            <rFont val="Arial"/>
            <family val="2"/>
          </rPr>
          <t>nL</t>
        </r>
        <r>
          <rPr>
            <sz val="11"/>
            <color indexed="81"/>
            <rFont val="Arial"/>
            <family val="2"/>
          </rPr>
          <t>)</t>
        </r>
      </text>
    </comment>
    <comment ref="J35" authorId="1" shapeId="0" xr:uid="{00000000-0006-0000-0600-00001E000000}">
      <text>
        <r>
          <rPr>
            <b/>
            <sz val="11"/>
            <color indexed="81"/>
            <rFont val="Tahoma"/>
            <family val="2"/>
          </rPr>
          <t>Auburger, Kilian (Reg Oberpfalz):</t>
        </r>
        <r>
          <rPr>
            <sz val="11"/>
            <color indexed="81"/>
            <rFont val="Tahoma"/>
            <family val="2"/>
          </rPr>
          <t xml:space="preserve">
Dieses Feld erscheint rot, wenn die eingetragene Gewichtung
- bei EEG-, KWKG- und sonstigen Einspeisern sowie Einspeisern ohne vermNE nicht der Gewichtung nach § 18 Abs. 1 Satz 1 und 2 sowie § 18 Abs. 5 StromNEV entspricht oder 
- bei Rückspeisung aus der eigenen nachgelagerten Ebene von der berechneten Gewichtung in Zelle J21 abweicht.</t>
        </r>
        <r>
          <rPr>
            <sz val="9"/>
            <color indexed="81"/>
            <rFont val="Segoe UI"/>
            <family val="2"/>
          </rPr>
          <t xml:space="preserve">
</t>
        </r>
      </text>
    </comment>
    <comment ref="K35" authorId="1" shapeId="0" xr:uid="{00000000-0006-0000-0600-00001F000000}">
      <text>
        <r>
          <rPr>
            <b/>
            <sz val="11"/>
            <color indexed="81"/>
            <rFont val="Tahoma"/>
            <family val="2"/>
          </rPr>
          <t>Auburger, Kilian (Reg Oberpfalz):</t>
        </r>
        <r>
          <rPr>
            <sz val="11"/>
            <color indexed="81"/>
            <rFont val="Tahoma"/>
            <family val="2"/>
          </rPr>
          <t xml:space="preserve">
Dieses Feld erscheint rot, wenn die eingetragene Gewichtung
- bei EEG-, KWKG- und sonstigen Einspeisern sowie Einspeisern ohne vermNE nicht mit der Gewichtung der Arbeit desselben Einspeisers übereinstimmt oder 
- bei Rückspeisung aus der eigenen nachgelagerten Ebene von der berechneten Gewichtung in Zelle K21 abweicht.</t>
        </r>
        <r>
          <rPr>
            <sz val="9"/>
            <color indexed="81"/>
            <rFont val="Segoe UI"/>
            <family val="2"/>
          </rPr>
          <t xml:space="preserve">
</t>
        </r>
      </text>
    </comment>
    <comment ref="M35" authorId="0" shapeId="0" xr:uid="{00000000-0006-0000-0600-000020000000}">
      <text>
        <r>
          <rPr>
            <b/>
            <sz val="11"/>
            <color indexed="81"/>
            <rFont val="Tahoma"/>
            <family val="2"/>
          </rPr>
          <t>GW:</t>
        </r>
        <r>
          <rPr>
            <sz val="11"/>
            <color indexed="81"/>
            <rFont val="Tahoma"/>
            <family val="2"/>
          </rPr>
          <t xml:space="preserve">
R: Referenzpreisblatt
A: aktuelles Preisblatt
In diesem Tool wird - abweichend von der Anwendungshilfe "Fragen und Antworten zur Umsetzung des NEMoG", Ergänzung vom 20.06.2018, 2. Antwort - für jeden Einspeiser einzeln entschieden, welches Preisblatt zur Anwendung kommt. Unterschiedliche Preisblätter kommen in der Regel dann zur Anwendung, wenn in einem Preisblatt der Arbeitspreis und dem [einem] anderen Preisblatt der Leistungspreis größer ist.
Die Begründung der abweichenden Vorgehensweise liegt in der Transparenz für den Einspeiser: Ein Einspeiser kann die im Tool verwendete Vorgehensweise nachvollziehen. Die Berechnung einer Briefmarke kann man hingegen von einem Einspeiser nicht erwarten.
Die gesetzliche Regelung findet sich § 120 Abs. 4 Satz 1 EnWG.</t>
        </r>
      </text>
    </comment>
    <comment ref="U35" authorId="0" shapeId="0" xr:uid="{00000000-0006-0000-0600-000021000000}">
      <text>
        <r>
          <rPr>
            <b/>
            <sz val="11"/>
            <color indexed="81"/>
            <rFont val="Tahoma"/>
            <family val="2"/>
          </rPr>
          <t>GW:</t>
        </r>
        <r>
          <rPr>
            <sz val="11"/>
            <color indexed="81"/>
            <rFont val="Tahoma"/>
            <family val="2"/>
          </rPr>
          <t xml:space="preserve">
Dieser Schlüssel verteilt die erhaltene Rückspeisevergütung für Leistung auf die dezentralen Einspeiser.
Der Schlüssel 2 berücksichtigt den Zeitpunkt, der Grundlage war für die erhaltene Rückspeisevergütung für Leistung, und ist daher grundsätzlich dem Schlüssel 1 und dem Schlüssel 3 vorzuziehen. 
Für Schlüssel 3 spricht, dass ein Einspeiser einen Zeitpunkt besser planen kann. Für Schlüssel 1 und Schlüssel 3 spricht die einfachere Handhabung. In der Praxis kann man sich deshalb oft mit dem Schlüssel 1 oder mit dem Schlüssel 3 behelfen.
Für den Fall, dass die Jahreshöchstlast der Ebene und die Jahreshöchstlast der vorgelagerten Ebene zum selben Zeitpunkt auftritt, fallen Schlüssel 2 und Schlüssel 3 zusammen.
Schlüssel 1 entspricht einer Verstetigung sämtlicher Einspeiser bei der Rückspeisung.
</t>
        </r>
      </text>
    </comment>
    <comment ref="W35" authorId="1" shapeId="0" xr:uid="{00000000-0006-0000-0600-000022000000}">
      <text>
        <r>
          <rPr>
            <b/>
            <sz val="11"/>
            <color indexed="81"/>
            <rFont val="Segoe UI"/>
            <family val="2"/>
          </rPr>
          <t xml:space="preserve">Auburger, Kilian (Reg </t>
        </r>
        <r>
          <rPr>
            <b/>
            <sz val="11"/>
            <color indexed="81"/>
            <rFont val="Tahoma"/>
            <family val="2"/>
          </rPr>
          <t>Oberpfalz):</t>
        </r>
        <r>
          <rPr>
            <sz val="11"/>
            <color indexed="81"/>
            <rFont val="Tahoma"/>
            <family val="2"/>
          </rPr>
          <t xml:space="preserve">
Die weitergegebenen Kosten müssen in Summe mit den bei den vorgelagerten Netzkosten angesetzten Kosten übereinstimmen. Die Verteilung auf die Einspeiser ist jeweils im Einzelfall zu entscheiden.</t>
        </r>
      </text>
    </comment>
    <comment ref="A51" authorId="0" shapeId="0" xr:uid="{00000000-0006-0000-0600-000023000000}">
      <text>
        <r>
          <rPr>
            <b/>
            <sz val="12"/>
            <color indexed="81"/>
            <rFont val="Tahoma"/>
            <family val="2"/>
          </rPr>
          <t>GW:</t>
        </r>
        <r>
          <rPr>
            <sz val="12"/>
            <color indexed="81"/>
            <rFont val="Tahoma"/>
            <family val="2"/>
          </rPr>
          <t xml:space="preserve">
</t>
        </r>
        <r>
          <rPr>
            <sz val="11"/>
            <color indexed="81"/>
            <rFont val="Tahoma"/>
            <family val="2"/>
          </rPr>
          <t>EEG-Einspeiser mit zeitweiliger oder prozentualer sonstiger Direktvermarktung müssen zweimal berücksichtigt werden (einmal als EEG-Anlage und einmal als sonstige Anlage), um einen Vergleich mit dem EEG-Testat zu ermöglichen.</t>
        </r>
      </text>
    </comment>
    <comment ref="E69" authorId="0" shapeId="0" xr:uid="{00000000-0006-0000-0600-000024000000}">
      <text>
        <r>
          <rPr>
            <b/>
            <sz val="11"/>
            <color indexed="81"/>
            <rFont val="Tahoma"/>
            <family val="2"/>
          </rPr>
          <t>GW:</t>
        </r>
        <r>
          <rPr>
            <sz val="11"/>
            <color indexed="81"/>
            <rFont val="Tahoma"/>
            <family val="2"/>
          </rPr>
          <t xml:space="preserve">
Diese Zelle erschein rot, wenn die Rechnung oben zu einem anderen Wert führt.</t>
        </r>
      </text>
    </comment>
    <comment ref="O69" authorId="0" shapeId="0" xr:uid="{00000000-0006-0000-0600-000025000000}">
      <text>
        <r>
          <rPr>
            <b/>
            <sz val="11"/>
            <color indexed="81"/>
            <rFont val="Tahoma"/>
            <family val="2"/>
          </rPr>
          <t>GW:</t>
        </r>
        <r>
          <rPr>
            <sz val="11"/>
            <color indexed="81"/>
            <rFont val="Tahoma"/>
            <family val="2"/>
          </rPr>
          <t xml:space="preserve">
Diese Zelle erschein rot, wenn die Rechnung oben zu einem anderen Wert führt.</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GW</author>
    <author>Auburger, Kilian (Reg Oberpfalz)</author>
  </authors>
  <commentList>
    <comment ref="A8" authorId="0" shapeId="0" xr:uid="{00000000-0006-0000-0700-000001000000}">
      <text>
        <r>
          <rPr>
            <b/>
            <sz val="11"/>
            <color indexed="81"/>
            <rFont val="Tahoma"/>
            <family val="2"/>
          </rPr>
          <t>GW:</t>
        </r>
        <r>
          <rPr>
            <sz val="11"/>
            <color indexed="81"/>
            <rFont val="Tahoma"/>
            <family val="2"/>
          </rPr>
          <t xml:space="preserve">
rechnerischer Wert unter der Voraussetzung, dass Arbeit nur von der vorgelagerten Netzebene eingespeist wird.</t>
        </r>
      </text>
    </comment>
    <comment ref="C10" authorId="0" shapeId="0" xr:uid="{00000000-0006-0000-0700-000002000000}">
      <text>
        <r>
          <rPr>
            <b/>
            <sz val="11"/>
            <color indexed="81"/>
            <rFont val="Tahoma"/>
            <family val="2"/>
          </rPr>
          <t>GW:</t>
        </r>
        <r>
          <rPr>
            <sz val="11"/>
            <color indexed="81"/>
            <rFont val="Tahoma"/>
            <family val="2"/>
          </rPr>
          <t xml:space="preserve">
Diese Zelle erschein rot, wenn die Rechnung unten zu einem anderen Wert führt.
Wegen
</t>
        </r>
        <r>
          <rPr>
            <i/>
            <sz val="11"/>
            <color indexed="81"/>
            <rFont val="Tahoma"/>
            <family val="2"/>
          </rPr>
          <t>B</t>
        </r>
        <r>
          <rPr>
            <i/>
            <vertAlign val="subscript"/>
            <sz val="11"/>
            <color indexed="81"/>
            <rFont val="Tahoma"/>
            <family val="2"/>
          </rPr>
          <t>eN</t>
        </r>
        <r>
          <rPr>
            <i/>
            <sz val="11"/>
            <color indexed="81"/>
            <rFont val="Tahoma"/>
            <family val="2"/>
          </rPr>
          <t xml:space="preserve"> + B</t>
        </r>
        <r>
          <rPr>
            <i/>
            <vertAlign val="subscript"/>
            <sz val="11"/>
            <color indexed="81"/>
            <rFont val="Tahoma"/>
            <family val="2"/>
          </rPr>
          <t>fN</t>
        </r>
        <r>
          <rPr>
            <i/>
            <sz val="11"/>
            <color indexed="81"/>
            <rFont val="Tahoma"/>
            <family val="2"/>
          </rPr>
          <t xml:space="preserve"> + D + R</t>
        </r>
        <r>
          <rPr>
            <i/>
            <vertAlign val="subscript"/>
            <sz val="11"/>
            <color indexed="81"/>
            <rFont val="Tahoma"/>
            <family val="2"/>
          </rPr>
          <t>eN</t>
        </r>
        <r>
          <rPr>
            <i/>
            <sz val="11"/>
            <color indexed="81"/>
            <rFont val="Tahoma"/>
            <family val="2"/>
          </rPr>
          <t xml:space="preserve"> + R</t>
        </r>
        <r>
          <rPr>
            <i/>
            <vertAlign val="subscript"/>
            <sz val="11"/>
            <color indexed="81"/>
            <rFont val="Tahoma"/>
            <family val="2"/>
          </rPr>
          <t>fN</t>
        </r>
        <r>
          <rPr>
            <i/>
            <sz val="11"/>
            <color indexed="81"/>
            <rFont val="Tahoma"/>
            <family val="2"/>
          </rPr>
          <t xml:space="preserve"> = L + eN + fN + A</t>
        </r>
        <r>
          <rPr>
            <i/>
            <vertAlign val="subscript"/>
            <sz val="11"/>
            <color indexed="81"/>
            <rFont val="Tahoma"/>
            <family val="2"/>
          </rPr>
          <t>eN</t>
        </r>
        <r>
          <rPr>
            <i/>
            <sz val="11"/>
            <color indexed="81"/>
            <rFont val="Tahoma"/>
            <family val="2"/>
          </rPr>
          <t xml:space="preserve"> + A</t>
        </r>
        <r>
          <rPr>
            <i/>
            <vertAlign val="subscript"/>
            <sz val="11"/>
            <color indexed="81"/>
            <rFont val="Tahoma"/>
            <family val="2"/>
          </rPr>
          <t>fN</t>
        </r>
        <r>
          <rPr>
            <i/>
            <sz val="11"/>
            <color indexed="81"/>
            <rFont val="Tahoma"/>
            <family val="2"/>
          </rPr>
          <t xml:space="preserve"> +V
= (L + eN + fN + A</t>
        </r>
        <r>
          <rPr>
            <i/>
            <vertAlign val="subscript"/>
            <sz val="11"/>
            <color indexed="81"/>
            <rFont val="Tahoma"/>
            <family val="2"/>
          </rPr>
          <t>eN</t>
        </r>
        <r>
          <rPr>
            <i/>
            <sz val="11"/>
            <color indexed="81"/>
            <rFont val="Tahoma"/>
            <family val="2"/>
          </rPr>
          <t xml:space="preserve"> + A</t>
        </r>
        <r>
          <rPr>
            <i/>
            <vertAlign val="subscript"/>
            <sz val="11"/>
            <color indexed="81"/>
            <rFont val="Tahoma"/>
            <family val="2"/>
          </rPr>
          <t>fN</t>
        </r>
        <r>
          <rPr>
            <i/>
            <sz val="11"/>
            <color indexed="81"/>
            <rFont val="Tahoma"/>
            <family val="2"/>
          </rPr>
          <t>) * (1+v)
= (L + eN + fN) * (1+v) + (A</t>
        </r>
        <r>
          <rPr>
            <i/>
            <vertAlign val="subscript"/>
            <sz val="11"/>
            <color indexed="81"/>
            <rFont val="Tahoma"/>
            <family val="2"/>
          </rPr>
          <t>eN</t>
        </r>
        <r>
          <rPr>
            <i/>
            <sz val="11"/>
            <color indexed="81"/>
            <rFont val="Tahoma"/>
            <family val="2"/>
          </rPr>
          <t xml:space="preserve"> + A</t>
        </r>
        <r>
          <rPr>
            <i/>
            <vertAlign val="subscript"/>
            <sz val="11"/>
            <color indexed="81"/>
            <rFont val="Tahoma"/>
            <family val="2"/>
          </rPr>
          <t>fN</t>
        </r>
        <r>
          <rPr>
            <i/>
            <sz val="11"/>
            <color indexed="81"/>
            <rFont val="Tahoma"/>
            <family val="2"/>
          </rPr>
          <t>) * (1+v)
= E</t>
        </r>
        <r>
          <rPr>
            <i/>
            <vertAlign val="subscript"/>
            <sz val="11"/>
            <color indexed="81"/>
            <rFont val="Tahoma"/>
            <family val="2"/>
          </rPr>
          <t>max</t>
        </r>
        <r>
          <rPr>
            <i/>
            <sz val="11"/>
            <color indexed="81"/>
            <rFont val="Tahoma"/>
            <family val="2"/>
          </rPr>
          <t xml:space="preserve"> + (A</t>
        </r>
        <r>
          <rPr>
            <i/>
            <vertAlign val="subscript"/>
            <sz val="11"/>
            <color indexed="81"/>
            <rFont val="Tahoma"/>
            <family val="2"/>
          </rPr>
          <t>eN</t>
        </r>
        <r>
          <rPr>
            <i/>
            <sz val="11"/>
            <color indexed="81"/>
            <rFont val="Tahoma"/>
            <family val="2"/>
          </rPr>
          <t xml:space="preserve"> + A</t>
        </r>
        <r>
          <rPr>
            <i/>
            <vertAlign val="subscript"/>
            <sz val="11"/>
            <color indexed="81"/>
            <rFont val="Tahoma"/>
            <family val="2"/>
          </rPr>
          <t>fN</t>
        </r>
        <r>
          <rPr>
            <i/>
            <sz val="11"/>
            <color indexed="81"/>
            <rFont val="Tahoma"/>
            <family val="2"/>
          </rPr>
          <t>) * (1+v)</t>
        </r>
        <r>
          <rPr>
            <sz val="11"/>
            <color indexed="81"/>
            <rFont val="Tahoma"/>
            <family val="2"/>
          </rPr>
          <t xml:space="preserve">
gilt
</t>
        </r>
        <r>
          <rPr>
            <i/>
            <sz val="11"/>
            <color indexed="81"/>
            <rFont val="Tahoma"/>
            <family val="2"/>
          </rPr>
          <t>E</t>
        </r>
        <r>
          <rPr>
            <i/>
            <vertAlign val="subscript"/>
            <sz val="11"/>
            <color indexed="81"/>
            <rFont val="Tahoma"/>
            <family val="2"/>
          </rPr>
          <t>max</t>
        </r>
        <r>
          <rPr>
            <i/>
            <sz val="11"/>
            <color indexed="81"/>
            <rFont val="Tahoma"/>
            <family val="2"/>
          </rPr>
          <t xml:space="preserve"> - B</t>
        </r>
        <r>
          <rPr>
            <i/>
            <vertAlign val="subscript"/>
            <sz val="11"/>
            <color indexed="81"/>
            <rFont val="Tahoma"/>
            <family val="2"/>
          </rPr>
          <t>eN</t>
        </r>
        <r>
          <rPr>
            <i/>
            <sz val="11"/>
            <color indexed="81"/>
            <rFont val="Tahoma"/>
            <family val="2"/>
          </rPr>
          <t xml:space="preserve"> - B</t>
        </r>
        <r>
          <rPr>
            <i/>
            <vertAlign val="subscript"/>
            <sz val="11"/>
            <color indexed="81"/>
            <rFont val="Tahoma"/>
            <family val="2"/>
          </rPr>
          <t>fN</t>
        </r>
        <r>
          <rPr>
            <i/>
            <sz val="11"/>
            <color indexed="81"/>
            <rFont val="Tahoma"/>
            <family val="2"/>
          </rPr>
          <t xml:space="preserve"> = D + R</t>
        </r>
        <r>
          <rPr>
            <i/>
            <vertAlign val="subscript"/>
            <sz val="11"/>
            <color indexed="81"/>
            <rFont val="Tahoma"/>
            <family val="2"/>
          </rPr>
          <t>eN</t>
        </r>
        <r>
          <rPr>
            <i/>
            <sz val="11"/>
            <color indexed="81"/>
            <rFont val="Tahoma"/>
            <family val="2"/>
          </rPr>
          <t xml:space="preserve"> + R</t>
        </r>
        <r>
          <rPr>
            <i/>
            <vertAlign val="subscript"/>
            <sz val="11"/>
            <color indexed="81"/>
            <rFont val="Tahoma"/>
            <family val="2"/>
          </rPr>
          <t>fN</t>
        </r>
        <r>
          <rPr>
            <i/>
            <sz val="11"/>
            <color indexed="81"/>
            <rFont val="Tahoma"/>
            <family val="2"/>
          </rPr>
          <t xml:space="preserve"> - (A</t>
        </r>
        <r>
          <rPr>
            <i/>
            <vertAlign val="subscript"/>
            <sz val="11"/>
            <color indexed="81"/>
            <rFont val="Tahoma"/>
            <family val="2"/>
          </rPr>
          <t>eN</t>
        </r>
        <r>
          <rPr>
            <i/>
            <sz val="11"/>
            <color indexed="81"/>
            <rFont val="Tahoma"/>
            <family val="2"/>
          </rPr>
          <t xml:space="preserve"> + A</t>
        </r>
        <r>
          <rPr>
            <i/>
            <vertAlign val="subscript"/>
            <sz val="11"/>
            <color indexed="81"/>
            <rFont val="Tahoma"/>
            <family val="2"/>
          </rPr>
          <t>fN</t>
        </r>
        <r>
          <rPr>
            <i/>
            <sz val="11"/>
            <color indexed="81"/>
            <rFont val="Tahoma"/>
            <family val="2"/>
          </rPr>
          <t>) * (1+v) = E</t>
        </r>
        <r>
          <rPr>
            <i/>
            <vertAlign val="subscript"/>
            <sz val="11"/>
            <color indexed="81"/>
            <rFont val="Tahoma"/>
            <family val="2"/>
          </rPr>
          <t>verm,tat</t>
        </r>
      </text>
    </comment>
    <comment ref="P13" authorId="0" shapeId="0" xr:uid="{00000000-0006-0000-0700-000003000000}">
      <text>
        <r>
          <rPr>
            <b/>
            <sz val="11"/>
            <color indexed="81"/>
            <rFont val="Tahoma"/>
            <family val="2"/>
          </rPr>
          <t>GW:</t>
        </r>
        <r>
          <rPr>
            <sz val="11"/>
            <color indexed="81"/>
            <rFont val="Tahoma"/>
            <family val="2"/>
          </rPr>
          <t xml:space="preserve">
Es ist nur die Vergütung anzusetzen, die auch den vermNE im EEG-Testat bzw. an die Einspeiser zugrunde lag. Stehen die endgültigen Einspeisevergütungssätze erst danach fest, sind grundsätzlich das EEG-Testat und die Gutschriften an die anderen Einspeiser zu korrigieren. 
Bei kleineren Beträgen kann man ausnahmsweise die Differenz zum bisherigen Ansatz (=Gutschrift bzw. Nachbelastung des Netzbetreibers der vorgelagerten Netzebene) entweder
1. von den vermNE lt. Prüfung abziehen (NB erhält nachträglich mehr Geld (Gutschrift)) bzw addieren (NB muss nachträglich Geld zurückzahlen (Nachbelastung)). Dann wirkt die Ausnahmeregelung bei einer Gutschrift zu Lasten des ÜNB bzw. der Einspeiser (und über die niedrigere EO zu Gunsten aller anderen Netzkunden), bei einer Nachbelastung zu Gunsten des ÜNB bzw. der Einspeiser (und über die höhere EO zu Lasten aller anderen Netzkunden) oder
2. im Folgejahr berücksichtigen. In diesem Fall wird die Gutschrift/Nachbelastung den Einspeiserrn im Folgejahr zugeordnet. Die Einspeiser im Folgejahr werden nicht identisch sein mit den Einspeisern im Betrachtungsjahr. Außerdem wird im Folgejahr ein anderer Zeitpunkt für die Rückspeisevergütung maßgeblich sein. Deshalb kommt es auch bei dieser Vorgehensweise zu Verzerrungen.</t>
        </r>
      </text>
    </comment>
    <comment ref="W13" authorId="0" shapeId="0" xr:uid="{00000000-0006-0000-0700-000004000000}">
      <text>
        <r>
          <rPr>
            <b/>
            <sz val="11"/>
            <color indexed="81"/>
            <rFont val="Segoe UI"/>
            <family val="2"/>
          </rPr>
          <t>GW:</t>
        </r>
        <r>
          <rPr>
            <sz val="11"/>
            <color indexed="81"/>
            <rFont val="Segoe UI"/>
            <family val="2"/>
          </rPr>
          <t xml:space="preserve">
Erhält der NB eine Rückspeisevergütung von zwei oder mehr fremden Netzen, kann dies im Tool im Moment nur über den Schlüssel 1 abgebildet werden. Bitte stellen Sie uns diesen Fall vor. Wir überlegen dann, ob wir dieses Tool anpassen können.</t>
        </r>
      </text>
    </comment>
    <comment ref="A14" authorId="0" shapeId="0" xr:uid="{00000000-0006-0000-0700-000005000000}">
      <text>
        <r>
          <rPr>
            <b/>
            <sz val="11"/>
            <color indexed="81"/>
            <rFont val="Tahoma"/>
            <family val="2"/>
          </rPr>
          <t>GW:</t>
        </r>
        <r>
          <rPr>
            <sz val="11"/>
            <color indexed="81"/>
            <rFont val="Tahoma"/>
            <family val="2"/>
          </rPr>
          <t xml:space="preserve">
für die Ermittlung der zu vergütenden Einspeisearbeit</t>
        </r>
      </text>
    </comment>
    <comment ref="C14" authorId="0" shapeId="0" xr:uid="{00000000-0006-0000-0700-000006000000}">
      <text>
        <r>
          <rPr>
            <b/>
            <sz val="11"/>
            <color indexed="81"/>
            <rFont val="Tahoma"/>
            <family val="2"/>
          </rPr>
          <t>GW:</t>
        </r>
        <r>
          <rPr>
            <sz val="11"/>
            <color indexed="81"/>
            <rFont val="Tahoma"/>
            <family val="2"/>
          </rPr>
          <t xml:space="preserve">
0 ≤ </t>
        </r>
        <r>
          <rPr>
            <i/>
            <sz val="11"/>
            <color indexed="81"/>
            <rFont val="Tahoma"/>
            <family val="2"/>
          </rPr>
          <t>r</t>
        </r>
        <r>
          <rPr>
            <sz val="11"/>
            <color indexed="81"/>
            <rFont val="Tahoma"/>
            <family val="2"/>
          </rPr>
          <t xml:space="preserve"> ≤ 1
r = 0: keine Vermeidung in dieser Ebene des Netzbetreibers, komplete Ausspeisung
r = 1: Vermeidung vollständig in dieser Ebene des Netzbetreibers, keine Ausspeisungen</t>
        </r>
      </text>
    </comment>
    <comment ref="P15" authorId="0" shapeId="0" xr:uid="{00000000-0006-0000-0700-000007000000}">
      <text>
        <r>
          <rPr>
            <b/>
            <sz val="11"/>
            <color indexed="81"/>
            <rFont val="Tahoma"/>
            <family val="2"/>
          </rPr>
          <t>GW:</t>
        </r>
        <r>
          <rPr>
            <sz val="11"/>
            <color indexed="81"/>
            <rFont val="Tahoma"/>
            <family val="2"/>
          </rPr>
          <t xml:space="preserve">
Der VDN-Leitfaden betrachtet die Vergütung/Verrrechnung für Arbeit und Leistung in Summe, so dass nach dem VDN-Leitfaden auch nicht leistungsgemessene Einspeiser einen Anteil der erhaltenen Rückspeisevergütung für Leistung erhalten. Dieses Verfahren halten wir deshalb nicht für sachgerecht und betrachten in diesem Tool die Vergütung/Verrechnung für 
Arbeit und Leistung getrennt.
</t>
        </r>
      </text>
    </comment>
    <comment ref="A16" authorId="0" shapeId="0" xr:uid="{00000000-0006-0000-0700-000008000000}">
      <text>
        <r>
          <rPr>
            <b/>
            <sz val="11"/>
            <color indexed="81"/>
            <rFont val="Tahoma"/>
            <family val="2"/>
          </rPr>
          <t>GW:</t>
        </r>
        <r>
          <rPr>
            <sz val="11"/>
            <color indexed="81"/>
            <rFont val="Tahoma"/>
            <family val="2"/>
          </rPr>
          <t xml:space="preserve">
§ 18 </t>
        </r>
        <r>
          <rPr>
            <u/>
            <sz val="11"/>
            <color indexed="81"/>
            <rFont val="Tahoma"/>
            <family val="2"/>
          </rPr>
          <t>Abs. 1</t>
        </r>
        <r>
          <rPr>
            <sz val="11"/>
            <color indexed="81"/>
            <rFont val="Tahoma"/>
            <family val="2"/>
          </rPr>
          <t xml:space="preserve"> Satz 3 StromNEV: „Dieses Entgelt muss den gegenüber den vorgelagerten Netz- oder Umspannebenen durch die jeweiligen Einspeisungen vermiedenen Netzentgelten entsprechen.“
§ 18 </t>
        </r>
        <r>
          <rPr>
            <u/>
            <sz val="11"/>
            <color indexed="81"/>
            <rFont val="Tahoma"/>
            <family val="2"/>
          </rPr>
          <t>Abs. 2</t>
        </r>
        <r>
          <rPr>
            <sz val="11"/>
            <color indexed="81"/>
            <rFont val="Tahoma"/>
            <family val="2"/>
          </rPr>
          <t xml:space="preserve"> Satz 2 StromNEV: „Maßgeblich sind die tatsächliche Vermeidungsarbeit in Kilowattstunden, die tatsächliche Vermeidungsleistung in Kilowatt und die Netzentgelte der vorgelagerten Netz- oder Umspannebene.“
Beide Vorschriften führen zwar grundsätzlich zum gleichen Ergebnis, in Einzelfällen treten jedoch Abweichungen auf. 
Zunächst kann man sich vergegenwärtigen, dass im Fall von mindestens zwei ungepoolten Übergabestellen der gewählte Ansatz (Summe der Jahreshöchstlasten lt. Eingangsrechnungen) zum richtigen eingesparten Entgelt führt (vgl. § 18 Abs. 1 Satz 2 StromNEV): Der Netzbetreiber bezahlt ein Leistungsentgelt für die auf den Rechnungen ausgewiesen Leistungswerte. Die maximale Bezuglast (</t>
        </r>
        <r>
          <rPr>
            <i/>
            <sz val="11"/>
            <color indexed="81"/>
            <rFont val="Tahoma"/>
            <family val="2"/>
          </rPr>
          <t>P</t>
        </r>
        <r>
          <rPr>
            <i/>
            <vertAlign val="subscript"/>
            <sz val="11"/>
            <color indexed="81"/>
            <rFont val="Tahoma"/>
            <family val="2"/>
          </rPr>
          <t>B,max</t>
        </r>
        <r>
          <rPr>
            <sz val="11"/>
            <color indexed="81"/>
            <rFont val="Tahoma"/>
            <family val="2"/>
          </rPr>
          <t xml:space="preserve">), für die der Netzbetreiber bezahlt hat, ergibt sich damit als Summe der auf den Rechnungen ausgewiesenen Leistungswerte. Für die in der Regel positive Differenz </t>
        </r>
        <r>
          <rPr>
            <i/>
            <sz val="11"/>
            <color indexed="81"/>
            <rFont val="Tahoma"/>
            <family val="2"/>
          </rPr>
          <t>P</t>
        </r>
        <r>
          <rPr>
            <i/>
            <vertAlign val="subscript"/>
            <sz val="11"/>
            <color indexed="81"/>
            <rFont val="Tahoma"/>
            <family val="2"/>
          </rPr>
          <t>E,max</t>
        </r>
        <r>
          <rPr>
            <sz val="11"/>
            <color indexed="81"/>
            <rFont val="Tahoma"/>
            <family val="2"/>
          </rPr>
          <t xml:space="preserve"> – </t>
        </r>
        <r>
          <rPr>
            <i/>
            <sz val="11"/>
            <color indexed="81"/>
            <rFont val="Tahoma"/>
            <family val="2"/>
          </rPr>
          <t>P</t>
        </r>
        <r>
          <rPr>
            <i/>
            <vertAlign val="subscript"/>
            <sz val="11"/>
            <color indexed="81"/>
            <rFont val="Tahoma"/>
            <family val="2"/>
          </rPr>
          <t>B,max</t>
        </r>
        <r>
          <rPr>
            <sz val="11"/>
            <color indexed="81"/>
            <rFont val="Tahoma"/>
            <family val="2"/>
          </rPr>
          <t xml:space="preserve"> spart sich der Netzbetreiber ein Leistungsentgelt des vorgelagerten Netzbetreibers. Deshalb ist </t>
        </r>
        <r>
          <rPr>
            <i/>
            <sz val="11"/>
            <color indexed="81"/>
            <rFont val="Tahoma"/>
            <family val="2"/>
          </rPr>
          <t>P</t>
        </r>
        <r>
          <rPr>
            <i/>
            <vertAlign val="subscript"/>
            <sz val="11"/>
            <color indexed="81"/>
            <rFont val="Tahoma"/>
            <family val="2"/>
          </rPr>
          <t>E,max</t>
        </r>
        <r>
          <rPr>
            <i/>
            <sz val="11"/>
            <color indexed="81"/>
            <rFont val="Tahoma"/>
            <family val="2"/>
          </rPr>
          <t xml:space="preserve"> – P</t>
        </r>
        <r>
          <rPr>
            <i/>
            <vertAlign val="subscript"/>
            <sz val="11"/>
            <color indexed="81"/>
            <rFont val="Tahoma"/>
            <family val="2"/>
          </rPr>
          <t>B,max</t>
        </r>
        <r>
          <rPr>
            <sz val="11"/>
            <color indexed="81"/>
            <rFont val="Tahoma"/>
            <family val="2"/>
          </rPr>
          <t xml:space="preserve"> die tatsächliche Vermeidungsleistung. In Extremfällen ist </t>
        </r>
        <r>
          <rPr>
            <i/>
            <sz val="11"/>
            <color indexed="81"/>
            <rFont val="Tahoma"/>
            <family val="2"/>
          </rPr>
          <t>P</t>
        </r>
        <r>
          <rPr>
            <i/>
            <vertAlign val="subscript"/>
            <sz val="11"/>
            <color indexed="81"/>
            <rFont val="Tahoma"/>
            <family val="2"/>
          </rPr>
          <t>B,max</t>
        </r>
        <r>
          <rPr>
            <sz val="11"/>
            <color indexed="81"/>
            <rFont val="Tahoma"/>
            <family val="2"/>
          </rPr>
          <t xml:space="preserve"> größer als </t>
        </r>
        <r>
          <rPr>
            <i/>
            <sz val="11"/>
            <color indexed="81"/>
            <rFont val="Tahoma"/>
            <family val="2"/>
          </rPr>
          <t>P</t>
        </r>
        <r>
          <rPr>
            <i/>
            <vertAlign val="subscript"/>
            <sz val="11"/>
            <color indexed="81"/>
            <rFont val="Tahoma"/>
            <family val="2"/>
          </rPr>
          <t>E,max</t>
        </r>
        <r>
          <rPr>
            <sz val="11"/>
            <color indexed="81"/>
            <rFont val="Tahoma"/>
            <family val="2"/>
          </rPr>
          <t xml:space="preserve">, so dass trotz dezentraler Einspeisung keine Leistung vermieden wird.
Der gewählte Ansatz führt nur dann zum richtigen eingesparten Entgelt, falls der NB ein zusammenhängendes Netzgebiet hat. Deshalb ist im Fall von mehreren nicht zusammenhängenden Netzen, dieses Tool für jedes Netz zu befüllen. Auf diese Weise können auch unterschiedliche vorgelagerte Netzentgelte in den verschiedenen Netzgebieten berücksichtigt werden.
Auch nach § 18 </t>
        </r>
        <r>
          <rPr>
            <u/>
            <sz val="11"/>
            <color indexed="81"/>
            <rFont val="Tahoma"/>
            <family val="2"/>
          </rPr>
          <t>Abs. 2</t>
        </r>
        <r>
          <rPr>
            <sz val="11"/>
            <color indexed="81"/>
            <rFont val="Tahoma"/>
            <family val="2"/>
          </rPr>
          <t xml:space="preserve"> Satz 2 StromNEV, wonach tatsächliche physikalische Größen maßgeblich sind, ergibt sich kein anderes Ergebnis: Die auf den Rechnungen ausgewiesenen Leistungen wurden nämlich tatsächlich bezogen, nicht aber der höchste Leistungswert des Summenlastgangs aller Bezüge.
Im Falle von mehreren Übergabestellen auf verschiedenen Ebenen gibt es in den Rechnungen kein Pooling. Auch bei der Ermittlung der vermiedenen Netzentgelte ist in diesem Fall kein Pooling anzusetzen, da
- es bei den vermiedenen Netzentgelten keinen neuen Pooling-Begriff gibt und
- wie oben ausgeführt nur eine Leistung in Höhe  </t>
        </r>
        <r>
          <rPr>
            <i/>
            <sz val="11"/>
            <color indexed="81"/>
            <rFont val="Tahoma"/>
            <family val="2"/>
          </rPr>
          <t>P</t>
        </r>
        <r>
          <rPr>
            <i/>
            <vertAlign val="subscript"/>
            <sz val="11"/>
            <color indexed="81"/>
            <rFont val="Tahoma"/>
            <family val="2"/>
          </rPr>
          <t>E,max</t>
        </r>
        <r>
          <rPr>
            <i/>
            <sz val="11"/>
            <color indexed="81"/>
            <rFont val="Tahoma"/>
            <family val="2"/>
          </rPr>
          <t xml:space="preserve"> – P</t>
        </r>
        <r>
          <rPr>
            <i/>
            <vertAlign val="subscript"/>
            <sz val="11"/>
            <color indexed="81"/>
            <rFont val="Tahoma"/>
            <family val="2"/>
          </rPr>
          <t>B,max</t>
        </r>
        <r>
          <rPr>
            <sz val="11"/>
            <color indexed="81"/>
            <rFont val="Tahoma"/>
            <family val="2"/>
          </rPr>
          <t xml:space="preserve"> vermieden wird und auch nur diese Leistung zu Kosten beim Netzbetreiber führen kann.
</t>
        </r>
        <r>
          <rPr>
            <u/>
            <sz val="11"/>
            <color indexed="81"/>
            <rFont val="Tahoma"/>
            <family val="2"/>
          </rPr>
          <t>Pooling</t>
        </r>
        <r>
          <rPr>
            <sz val="11"/>
            <color indexed="81"/>
            <rFont val="Tahoma"/>
            <family val="2"/>
          </rPr>
          <t xml:space="preserve"> ist der Oberbegriff für die
1. zeitgleiche und vorzeichengerechte Addition der Lastgangzeitreichen gemäß § 17 Abs. 2a Satz 4 Nr. 1 (Synonyme: Saldierung, Überlagerung, Vektoraddition)
2. zeitgleiche Addition der richtungsgleichen Lastgangzeitreihen gemäß § 17 Abs. 2a Satz 4 Nr. 2 (Synonym: Poolung)
</t>
        </r>
      </text>
    </comment>
    <comment ref="P16" authorId="0" shapeId="0" xr:uid="{00000000-0006-0000-0700-000009000000}">
      <text>
        <r>
          <rPr>
            <b/>
            <sz val="11"/>
            <color indexed="81"/>
            <rFont val="Tahoma"/>
            <family val="2"/>
          </rPr>
          <t>GW:</t>
        </r>
        <r>
          <rPr>
            <sz val="11"/>
            <color indexed="81"/>
            <rFont val="Tahoma"/>
            <family val="2"/>
          </rPr>
          <t xml:space="preserve">
Die Zahlen werden nur zur Verdeutlichung ausgewiesen und haben keinen Nachfolger.</t>
        </r>
      </text>
    </comment>
    <comment ref="P17" authorId="0" shapeId="0" xr:uid="{00000000-0006-0000-0700-00000A000000}">
      <text>
        <r>
          <rPr>
            <b/>
            <sz val="11"/>
            <color indexed="81"/>
            <rFont val="Tahoma"/>
            <family val="2"/>
          </rPr>
          <t>GW:</t>
        </r>
        <r>
          <rPr>
            <sz val="11"/>
            <color indexed="81"/>
            <rFont val="Tahoma"/>
            <family val="2"/>
          </rPr>
          <t xml:space="preserve">
Die Zahlen werden nur zur Verdeutlichung ausgewiesen und haben keinen Nachfolger.
Die erhaltene RSV für Arbeit sollte vollständig an die Einspeiser weitergeben werden. Trifft dies nicht zu erscheint die Zelle rot.
Die erhaltene RSV für Leistung sollte nach dem Anteil der leistungsgemessenen Einspeisern an allen Einspeisern auf Basis des verwendeten Schlüssels an die leistungsgemessenen Einspeiser weitergegeben werden. Trifft dies nicht zu erscheint die Zelle rot.
</t>
        </r>
      </text>
    </comment>
    <comment ref="P19" authorId="0" shapeId="0" xr:uid="{00000000-0006-0000-0700-00000B000000}">
      <text>
        <r>
          <rPr>
            <b/>
            <sz val="11"/>
            <color indexed="81"/>
            <rFont val="Tahoma"/>
            <family val="2"/>
          </rPr>
          <t>GW:</t>
        </r>
        <r>
          <rPr>
            <sz val="11"/>
            <color indexed="81"/>
            <rFont val="Tahoma"/>
            <family val="2"/>
          </rPr>
          <t xml:space="preserve">
Dieser Kasten wird nur benötigt, falls die erhaltene RSV für Leistung nach dem Schlüssel 2 an die Einspeiser weitergegeben wird. Nur in diesem Fall muss der Kasten auch befüllt werden.</t>
        </r>
      </text>
    </comment>
    <comment ref="C20" authorId="0" shapeId="0" xr:uid="{00000000-0006-0000-0700-00000C000000}">
      <text>
        <r>
          <rPr>
            <b/>
            <sz val="11"/>
            <color indexed="81"/>
            <rFont val="Tahoma"/>
            <family val="2"/>
          </rPr>
          <t>GW:</t>
        </r>
        <r>
          <rPr>
            <sz val="11"/>
            <color indexed="81"/>
            <rFont val="Tahoma"/>
            <family val="2"/>
          </rPr>
          <t xml:space="preserve">
Diese Zelle erschein rot, wenn die Rechnung unten zu einem anderen Wert führt.</t>
        </r>
      </text>
    </comment>
    <comment ref="L22" authorId="0" shapeId="0" xr:uid="{00000000-0006-0000-0700-00000D000000}">
      <text>
        <r>
          <rPr>
            <b/>
            <sz val="11"/>
            <color indexed="81"/>
            <rFont val="Segoe UI"/>
            <family val="2"/>
          </rPr>
          <t>GW:</t>
        </r>
        <r>
          <rPr>
            <sz val="11"/>
            <color indexed="81"/>
            <rFont val="Segoe UI"/>
            <family val="2"/>
          </rPr>
          <t xml:space="preserve">
Ein Einspeiser behält auch im Fall eines Netzübergangs sein Referenzpreisblatt. 
Neue Einspeiser nach dem Netzübergang erhalten das Referenzpreisblatt des aktuellen Netzbetreibers (vgl. § 120 Abs. 4 EnWG)</t>
        </r>
      </text>
    </comment>
    <comment ref="M22" authorId="0" shapeId="0" xr:uid="{00000000-0006-0000-0700-00000E000000}">
      <text>
        <r>
          <rPr>
            <b/>
            <sz val="11"/>
            <color indexed="81"/>
            <rFont val="Tahoma"/>
            <family val="2"/>
          </rPr>
          <t>GW:</t>
        </r>
        <r>
          <rPr>
            <sz val="11"/>
            <color indexed="81"/>
            <rFont val="Tahoma"/>
            <family val="2"/>
          </rPr>
          <t xml:space="preserve">
</t>
        </r>
        <r>
          <rPr>
            <u/>
            <sz val="11"/>
            <color indexed="81"/>
            <rFont val="Tahoma"/>
            <family val="2"/>
          </rPr>
          <t>Bezug von der vorgelagerten Netzebene mit mehreren Preisen</t>
        </r>
        <r>
          <rPr>
            <sz val="11"/>
            <color indexed="81"/>
            <rFont val="Tahoma"/>
            <family val="2"/>
          </rPr>
          <t xml:space="preserve">
Gibt es für die vorgelagerte Netzebene mehrere Preise</t>
        </r>
        <r>
          <rPr>
            <u/>
            <sz val="11"/>
            <color indexed="81"/>
            <rFont val="Tahoma"/>
            <family val="2"/>
          </rPr>
          <t>,</t>
        </r>
        <r>
          <rPr>
            <sz val="11"/>
            <color indexed="81"/>
            <rFont val="Tahoma"/>
            <family val="2"/>
          </rPr>
          <t xml:space="preserve"> muss ein gewichteter Durchschnittspreis ermittelt werden. Dies gilt sowohl für das Preisblatt des betrachteten Jahres, als auch für das Referenzpreisblatt. Wurden von der vorgelagerten Netzebene die Mengen m</t>
        </r>
        <r>
          <rPr>
            <vertAlign val="subscript"/>
            <sz val="11"/>
            <color indexed="81"/>
            <rFont val="Tahoma"/>
            <family val="2"/>
          </rPr>
          <t>1</t>
        </r>
        <r>
          <rPr>
            <sz val="11"/>
            <color indexed="81"/>
            <rFont val="Tahoma"/>
            <family val="2"/>
          </rPr>
          <t>, m</t>
        </r>
        <r>
          <rPr>
            <vertAlign val="subscript"/>
            <sz val="11"/>
            <color indexed="81"/>
            <rFont val="Tahoma"/>
            <family val="2"/>
          </rPr>
          <t>2</t>
        </r>
        <r>
          <rPr>
            <sz val="11"/>
            <color indexed="81"/>
            <rFont val="Tahoma"/>
            <family val="2"/>
          </rPr>
          <t>, ... mit den Preisen p</t>
        </r>
        <r>
          <rPr>
            <vertAlign val="subscript"/>
            <sz val="11"/>
            <color indexed="81"/>
            <rFont val="Tahoma"/>
            <family val="2"/>
          </rPr>
          <t>1</t>
        </r>
        <r>
          <rPr>
            <sz val="11"/>
            <color indexed="81"/>
            <rFont val="Tahoma"/>
            <family val="2"/>
          </rPr>
          <t>, p</t>
        </r>
        <r>
          <rPr>
            <vertAlign val="subscript"/>
            <sz val="11"/>
            <color indexed="81"/>
            <rFont val="Tahoma"/>
            <family val="2"/>
          </rPr>
          <t>2</t>
        </r>
        <r>
          <rPr>
            <sz val="11"/>
            <color indexed="81"/>
            <rFont val="Tahoma"/>
            <family val="2"/>
          </rPr>
          <t>, ... bezogen ergibt sich der gewichtete Durchschnittspreis zu
(m</t>
        </r>
        <r>
          <rPr>
            <vertAlign val="subscript"/>
            <sz val="11"/>
            <color indexed="81"/>
            <rFont val="Tahoma"/>
            <family val="2"/>
          </rPr>
          <t>1</t>
        </r>
        <r>
          <rPr>
            <sz val="11"/>
            <color indexed="81"/>
            <rFont val="Tahoma"/>
            <family val="2"/>
          </rPr>
          <t>*p</t>
        </r>
        <r>
          <rPr>
            <vertAlign val="subscript"/>
            <sz val="11"/>
            <color indexed="81"/>
            <rFont val="Tahoma"/>
            <family val="2"/>
          </rPr>
          <t>1</t>
        </r>
        <r>
          <rPr>
            <sz val="11"/>
            <color indexed="81"/>
            <rFont val="Tahoma"/>
            <family val="2"/>
          </rPr>
          <t>+m</t>
        </r>
        <r>
          <rPr>
            <vertAlign val="subscript"/>
            <sz val="11"/>
            <color indexed="81"/>
            <rFont val="Tahoma"/>
            <family val="2"/>
          </rPr>
          <t>2</t>
        </r>
        <r>
          <rPr>
            <sz val="11"/>
            <color indexed="81"/>
            <rFont val="Tahoma"/>
            <family val="2"/>
          </rPr>
          <t>*p</t>
        </r>
        <r>
          <rPr>
            <vertAlign val="subscript"/>
            <sz val="11"/>
            <color indexed="81"/>
            <rFont val="Tahoma"/>
            <family val="2"/>
          </rPr>
          <t>2</t>
        </r>
        <r>
          <rPr>
            <sz val="11"/>
            <color indexed="81"/>
            <rFont val="Tahoma"/>
            <family val="2"/>
          </rPr>
          <t>+⋯) / (m</t>
        </r>
        <r>
          <rPr>
            <vertAlign val="subscript"/>
            <sz val="11"/>
            <color indexed="81"/>
            <rFont val="Tahoma"/>
            <family val="2"/>
          </rPr>
          <t>1</t>
        </r>
        <r>
          <rPr>
            <sz val="11"/>
            <color indexed="81"/>
            <rFont val="Tahoma"/>
            <family val="2"/>
          </rPr>
          <t>+m</t>
        </r>
        <r>
          <rPr>
            <vertAlign val="subscript"/>
            <sz val="11"/>
            <color indexed="81"/>
            <rFont val="Tahoma"/>
            <family val="2"/>
          </rPr>
          <t>2</t>
        </r>
        <r>
          <rPr>
            <sz val="11"/>
            <color indexed="81"/>
            <rFont val="Tahoma"/>
            <family val="2"/>
          </rPr>
          <t>+⋯)=m</t>
        </r>
        <r>
          <rPr>
            <vertAlign val="subscript"/>
            <sz val="11"/>
            <color indexed="81"/>
            <rFont val="Tahoma"/>
            <family val="2"/>
          </rPr>
          <t>1</t>
        </r>
        <r>
          <rPr>
            <sz val="11"/>
            <color indexed="81"/>
            <rFont val="Tahoma"/>
            <family val="2"/>
          </rPr>
          <t>/(m</t>
        </r>
        <r>
          <rPr>
            <vertAlign val="subscript"/>
            <sz val="11"/>
            <color indexed="81"/>
            <rFont val="Tahoma"/>
            <family val="2"/>
          </rPr>
          <t>1</t>
        </r>
        <r>
          <rPr>
            <sz val="11"/>
            <color indexed="81"/>
            <rFont val="Tahoma"/>
            <family val="2"/>
          </rPr>
          <t>+m</t>
        </r>
        <r>
          <rPr>
            <vertAlign val="subscript"/>
            <sz val="11"/>
            <color indexed="81"/>
            <rFont val="Tahoma"/>
            <family val="2"/>
          </rPr>
          <t>2</t>
        </r>
        <r>
          <rPr>
            <sz val="11"/>
            <color indexed="81"/>
            <rFont val="Tahoma"/>
            <family val="2"/>
          </rPr>
          <t>+⋯) * p</t>
        </r>
        <r>
          <rPr>
            <vertAlign val="subscript"/>
            <sz val="11"/>
            <color indexed="81"/>
            <rFont val="Tahoma"/>
            <family val="2"/>
          </rPr>
          <t xml:space="preserve">1 </t>
        </r>
        <r>
          <rPr>
            <sz val="11"/>
            <color indexed="81"/>
            <rFont val="Tahoma"/>
            <family val="2"/>
          </rPr>
          <t>+ m</t>
        </r>
        <r>
          <rPr>
            <vertAlign val="subscript"/>
            <sz val="11"/>
            <color indexed="81"/>
            <rFont val="Tahoma"/>
            <family val="2"/>
          </rPr>
          <t>2</t>
        </r>
        <r>
          <rPr>
            <sz val="11"/>
            <color indexed="81"/>
            <rFont val="Tahoma"/>
            <family val="2"/>
          </rPr>
          <t>/(m</t>
        </r>
        <r>
          <rPr>
            <vertAlign val="subscript"/>
            <sz val="11"/>
            <color indexed="81"/>
            <rFont val="Tahoma"/>
            <family val="2"/>
          </rPr>
          <t>1</t>
        </r>
        <r>
          <rPr>
            <sz val="11"/>
            <color indexed="81"/>
            <rFont val="Tahoma"/>
            <family val="2"/>
          </rPr>
          <t>+m</t>
        </r>
        <r>
          <rPr>
            <vertAlign val="subscript"/>
            <sz val="11"/>
            <color indexed="81"/>
            <rFont val="Tahoma"/>
            <family val="2"/>
          </rPr>
          <t>2</t>
        </r>
        <r>
          <rPr>
            <sz val="11"/>
            <color indexed="81"/>
            <rFont val="Tahoma"/>
            <family val="2"/>
          </rPr>
          <t>+⋯) * p</t>
        </r>
        <r>
          <rPr>
            <vertAlign val="subscript"/>
            <sz val="11"/>
            <color indexed="81"/>
            <rFont val="Tahoma"/>
            <family val="2"/>
          </rPr>
          <t>2</t>
        </r>
        <r>
          <rPr>
            <sz val="11"/>
            <color indexed="81"/>
            <rFont val="Tahoma"/>
            <family val="2"/>
          </rPr>
          <t xml:space="preserve"> +⋯
Im Fall mehrerer Preise für die vorgelagere Netzebene ändert sich das Referenzpreisblatt von Jahr zu Jahr, da sich die Gewichtung der zugrunde zu legenden Referenzpreisblätter von Jahr zu Jahr ändert.
</t>
        </r>
        <r>
          <rPr>
            <u/>
            <sz val="11"/>
            <color indexed="81"/>
            <rFont val="Tahoma"/>
            <family val="2"/>
          </rPr>
          <t>Pancaking (Bezug von dergleichen Netzebene)</t>
        </r>
        <r>
          <rPr>
            <sz val="11"/>
            <color indexed="81"/>
            <rFont val="Tahoma"/>
            <family val="2"/>
          </rPr>
          <t xml:space="preserve">
Es </t>
        </r>
        <r>
          <rPr>
            <i/>
            <sz val="11"/>
            <color indexed="81"/>
            <rFont val="Tahoma"/>
            <family val="2"/>
          </rPr>
          <t>können</t>
        </r>
        <r>
          <rPr>
            <sz val="11"/>
            <color indexed="81"/>
            <rFont val="Tahoma"/>
            <family val="2"/>
          </rPr>
          <t xml:space="preserve"> auch dann die Referenzpreise des vorgelagerten Netzes herangezogen werden, wenn die vorgelagerte Ebene und die Einspeiseebene identisch sind  (Hinweise der BNetzA für Verteilernetzbetreiber zur Anpassung der Erlösobergrenze für 2019, dort Punkt 11.2.4). 
Aus Gründen der Gleichbehandlung </t>
        </r>
        <r>
          <rPr>
            <i/>
            <sz val="11"/>
            <color indexed="81"/>
            <rFont val="Tahoma"/>
            <family val="2"/>
          </rPr>
          <t>sind</t>
        </r>
        <r>
          <rPr>
            <sz val="11"/>
            <color indexed="81"/>
            <rFont val="Tahoma"/>
            <family val="2"/>
          </rPr>
          <t xml:space="preserve"> m. E. 
- immer die Netzentgelte des vorgelagerten Netzes heranzuziehen, auch wenn die vorgelagerte Ebene und die Einspeiseebene identisch sind.
- die tatsächlich gezahlten Netzentgelte heranzuziehen, auch wenn den Einspeisern ein eventuell vorliegender Rabatt auf die regulären vorgelagerten Netzentgelten infolge einer Pancaking-Vereinbarung nicht bekannt ist.
Ein Rabatt auf die regulären vorgelagerten Netzentgelte ist auf das Referenzpreisblatt zu übertragen.
</t>
        </r>
        <r>
          <rPr>
            <u/>
            <sz val="11"/>
            <color indexed="81"/>
            <rFont val="Tahoma"/>
            <family val="2"/>
          </rPr>
          <t>Bezug von der vorgelagerten und von dergleichen Netzebene</t>
        </r>
        <r>
          <rPr>
            <sz val="11"/>
            <color indexed="81"/>
            <rFont val="Tahoma"/>
            <family val="2"/>
          </rPr>
          <t xml:space="preserve">
Auch beim Bezug von der vorgelagerten und von dergleichen Netzebene via Pancaking ist wie beim Bezug von der vorgelagerten Netzebene mit mehreren Preisen ein gewichteter Durchschnittspreis zu bilden. In den Durchschnittspreis gehen die Preise von verschiedenen Netzebenen ein.
Auch wenn tatsächlich mit dem </t>
        </r>
        <r>
          <rPr>
            <u/>
            <sz val="11"/>
            <color indexed="81"/>
            <rFont val="Tahoma"/>
            <family val="2"/>
          </rPr>
          <t>Preis kleiner 2.500 h</t>
        </r>
        <r>
          <rPr>
            <sz val="11"/>
            <color indexed="81"/>
            <rFont val="Tahoma"/>
            <family val="2"/>
          </rPr>
          <t xml:space="preserve"> bezogen wird, ist der Preis über 2.500 h heranzuziehen (Hinweise der BNetzA für Verteilernetzbetreiber zur Anpassung der Erlösobergrenze für 2019, dort Punkt 11.2.1).
</t>
        </r>
      </text>
    </comment>
    <comment ref="N22" authorId="0" shapeId="0" xr:uid="{00000000-0006-0000-0700-00000F000000}">
      <text>
        <r>
          <rPr>
            <b/>
            <sz val="11"/>
            <color indexed="81"/>
            <rFont val="Tahoma"/>
            <family val="2"/>
          </rPr>
          <t>GW:</t>
        </r>
        <r>
          <rPr>
            <sz val="11"/>
            <color indexed="81"/>
            <rFont val="Tahoma"/>
            <family val="2"/>
          </rPr>
          <t xml:space="preserve">
</t>
        </r>
        <r>
          <rPr>
            <u/>
            <sz val="11"/>
            <color indexed="81"/>
            <rFont val="Tahoma"/>
            <family val="2"/>
          </rPr>
          <t>Bezug von der vorgelagerten Netzebene mit mehreren Preisen</t>
        </r>
        <r>
          <rPr>
            <sz val="11"/>
            <color indexed="81"/>
            <rFont val="Tahoma"/>
            <family val="2"/>
          </rPr>
          <t xml:space="preserve">
Gibt es für die vorgelagerte Netzebene mehrere Preise</t>
        </r>
        <r>
          <rPr>
            <u/>
            <sz val="11"/>
            <color indexed="81"/>
            <rFont val="Tahoma"/>
            <family val="2"/>
          </rPr>
          <t>,</t>
        </r>
        <r>
          <rPr>
            <sz val="11"/>
            <color indexed="81"/>
            <rFont val="Tahoma"/>
            <family val="2"/>
          </rPr>
          <t xml:space="preserve"> muss ein gewichteter Durchschnittspreis ermittelt werden. Dies gilt sowohl für das Preisblatt des betrachteten Jahres, als auch für das Referenzpreisblatt. Wurden von der vorgelagerten Netzebene die Mengen m</t>
        </r>
        <r>
          <rPr>
            <vertAlign val="subscript"/>
            <sz val="11"/>
            <color indexed="81"/>
            <rFont val="Tahoma"/>
            <family val="2"/>
          </rPr>
          <t>1</t>
        </r>
        <r>
          <rPr>
            <sz val="11"/>
            <color indexed="81"/>
            <rFont val="Tahoma"/>
            <family val="2"/>
          </rPr>
          <t>, m</t>
        </r>
        <r>
          <rPr>
            <vertAlign val="subscript"/>
            <sz val="11"/>
            <color indexed="81"/>
            <rFont val="Tahoma"/>
            <family val="2"/>
          </rPr>
          <t>2</t>
        </r>
        <r>
          <rPr>
            <sz val="11"/>
            <color indexed="81"/>
            <rFont val="Tahoma"/>
            <family val="2"/>
          </rPr>
          <t>, ... mit den Preisen p</t>
        </r>
        <r>
          <rPr>
            <vertAlign val="subscript"/>
            <sz val="11"/>
            <color indexed="81"/>
            <rFont val="Tahoma"/>
            <family val="2"/>
          </rPr>
          <t>1</t>
        </r>
        <r>
          <rPr>
            <sz val="11"/>
            <color indexed="81"/>
            <rFont val="Tahoma"/>
            <family val="2"/>
          </rPr>
          <t>, p</t>
        </r>
        <r>
          <rPr>
            <vertAlign val="subscript"/>
            <sz val="11"/>
            <color indexed="81"/>
            <rFont val="Tahoma"/>
            <family val="2"/>
          </rPr>
          <t>2</t>
        </r>
        <r>
          <rPr>
            <sz val="11"/>
            <color indexed="81"/>
            <rFont val="Tahoma"/>
            <family val="2"/>
          </rPr>
          <t>, ... bezogen ergibt sich der gewichtete Durchschnittspreis zu
(m</t>
        </r>
        <r>
          <rPr>
            <vertAlign val="subscript"/>
            <sz val="11"/>
            <color indexed="81"/>
            <rFont val="Tahoma"/>
            <family val="2"/>
          </rPr>
          <t>1</t>
        </r>
        <r>
          <rPr>
            <sz val="11"/>
            <color indexed="81"/>
            <rFont val="Tahoma"/>
            <family val="2"/>
          </rPr>
          <t>*p</t>
        </r>
        <r>
          <rPr>
            <vertAlign val="subscript"/>
            <sz val="11"/>
            <color indexed="81"/>
            <rFont val="Tahoma"/>
            <family val="2"/>
          </rPr>
          <t>1</t>
        </r>
        <r>
          <rPr>
            <sz val="11"/>
            <color indexed="81"/>
            <rFont val="Tahoma"/>
            <family val="2"/>
          </rPr>
          <t>+m</t>
        </r>
        <r>
          <rPr>
            <vertAlign val="subscript"/>
            <sz val="11"/>
            <color indexed="81"/>
            <rFont val="Tahoma"/>
            <family val="2"/>
          </rPr>
          <t>2</t>
        </r>
        <r>
          <rPr>
            <sz val="11"/>
            <color indexed="81"/>
            <rFont val="Tahoma"/>
            <family val="2"/>
          </rPr>
          <t>*p</t>
        </r>
        <r>
          <rPr>
            <vertAlign val="subscript"/>
            <sz val="11"/>
            <color indexed="81"/>
            <rFont val="Tahoma"/>
            <family val="2"/>
          </rPr>
          <t>2</t>
        </r>
        <r>
          <rPr>
            <sz val="11"/>
            <color indexed="81"/>
            <rFont val="Tahoma"/>
            <family val="2"/>
          </rPr>
          <t>+⋯) / (m</t>
        </r>
        <r>
          <rPr>
            <vertAlign val="subscript"/>
            <sz val="11"/>
            <color indexed="81"/>
            <rFont val="Tahoma"/>
            <family val="2"/>
          </rPr>
          <t>1</t>
        </r>
        <r>
          <rPr>
            <sz val="11"/>
            <color indexed="81"/>
            <rFont val="Tahoma"/>
            <family val="2"/>
          </rPr>
          <t>+m</t>
        </r>
        <r>
          <rPr>
            <vertAlign val="subscript"/>
            <sz val="11"/>
            <color indexed="81"/>
            <rFont val="Tahoma"/>
            <family val="2"/>
          </rPr>
          <t>2</t>
        </r>
        <r>
          <rPr>
            <sz val="11"/>
            <color indexed="81"/>
            <rFont val="Tahoma"/>
            <family val="2"/>
          </rPr>
          <t>+⋯)=m</t>
        </r>
        <r>
          <rPr>
            <vertAlign val="subscript"/>
            <sz val="11"/>
            <color indexed="81"/>
            <rFont val="Tahoma"/>
            <family val="2"/>
          </rPr>
          <t>1</t>
        </r>
        <r>
          <rPr>
            <sz val="11"/>
            <color indexed="81"/>
            <rFont val="Tahoma"/>
            <family val="2"/>
          </rPr>
          <t>/(m</t>
        </r>
        <r>
          <rPr>
            <vertAlign val="subscript"/>
            <sz val="11"/>
            <color indexed="81"/>
            <rFont val="Tahoma"/>
            <family val="2"/>
          </rPr>
          <t>1</t>
        </r>
        <r>
          <rPr>
            <sz val="11"/>
            <color indexed="81"/>
            <rFont val="Tahoma"/>
            <family val="2"/>
          </rPr>
          <t>+m</t>
        </r>
        <r>
          <rPr>
            <vertAlign val="subscript"/>
            <sz val="11"/>
            <color indexed="81"/>
            <rFont val="Tahoma"/>
            <family val="2"/>
          </rPr>
          <t>2</t>
        </r>
        <r>
          <rPr>
            <sz val="11"/>
            <color indexed="81"/>
            <rFont val="Tahoma"/>
            <family val="2"/>
          </rPr>
          <t>+⋯) * p</t>
        </r>
        <r>
          <rPr>
            <vertAlign val="subscript"/>
            <sz val="11"/>
            <color indexed="81"/>
            <rFont val="Tahoma"/>
            <family val="2"/>
          </rPr>
          <t xml:space="preserve">1 </t>
        </r>
        <r>
          <rPr>
            <sz val="11"/>
            <color indexed="81"/>
            <rFont val="Tahoma"/>
            <family val="2"/>
          </rPr>
          <t>+ m</t>
        </r>
        <r>
          <rPr>
            <vertAlign val="subscript"/>
            <sz val="11"/>
            <color indexed="81"/>
            <rFont val="Tahoma"/>
            <family val="2"/>
          </rPr>
          <t>2</t>
        </r>
        <r>
          <rPr>
            <sz val="11"/>
            <color indexed="81"/>
            <rFont val="Tahoma"/>
            <family val="2"/>
          </rPr>
          <t>/(m</t>
        </r>
        <r>
          <rPr>
            <vertAlign val="subscript"/>
            <sz val="11"/>
            <color indexed="81"/>
            <rFont val="Tahoma"/>
            <family val="2"/>
          </rPr>
          <t>1</t>
        </r>
        <r>
          <rPr>
            <sz val="11"/>
            <color indexed="81"/>
            <rFont val="Tahoma"/>
            <family val="2"/>
          </rPr>
          <t>+m</t>
        </r>
        <r>
          <rPr>
            <vertAlign val="subscript"/>
            <sz val="11"/>
            <color indexed="81"/>
            <rFont val="Tahoma"/>
            <family val="2"/>
          </rPr>
          <t>2</t>
        </r>
        <r>
          <rPr>
            <sz val="11"/>
            <color indexed="81"/>
            <rFont val="Tahoma"/>
            <family val="2"/>
          </rPr>
          <t>+⋯) * p</t>
        </r>
        <r>
          <rPr>
            <vertAlign val="subscript"/>
            <sz val="11"/>
            <color indexed="81"/>
            <rFont val="Tahoma"/>
            <family val="2"/>
          </rPr>
          <t>2</t>
        </r>
        <r>
          <rPr>
            <sz val="11"/>
            <color indexed="81"/>
            <rFont val="Tahoma"/>
            <family val="2"/>
          </rPr>
          <t xml:space="preserve"> +⋯
Im Fall mehrerer Preise für die vorgelagere Netzebene ändert sich das Referenzpreisblatt von Jahr zu Jahr, da sich die Gewichtung der zugrunde zu legenden Referenzpreisblätter von Jahr zu Jahr ändert.
</t>
        </r>
        <r>
          <rPr>
            <u/>
            <sz val="11"/>
            <color indexed="81"/>
            <rFont val="Tahoma"/>
            <family val="2"/>
          </rPr>
          <t>Pancaking (Bezug von dergleichen Netzebene)</t>
        </r>
        <r>
          <rPr>
            <sz val="11"/>
            <color indexed="81"/>
            <rFont val="Tahoma"/>
            <family val="2"/>
          </rPr>
          <t xml:space="preserve">
Es </t>
        </r>
        <r>
          <rPr>
            <i/>
            <sz val="11"/>
            <color indexed="81"/>
            <rFont val="Tahoma"/>
            <family val="2"/>
          </rPr>
          <t>können</t>
        </r>
        <r>
          <rPr>
            <sz val="11"/>
            <color indexed="81"/>
            <rFont val="Tahoma"/>
            <family val="2"/>
          </rPr>
          <t xml:space="preserve"> auch dann die Referenzpreise des vorgelagerten Netzes herangezogen werden, wenn die vorgelagerte Ebene und die Einspeiseebene identisch sind  (Hinweise der BNetzA für Verteilernetzbetreiber zur Anpassung der Erlösobergrenze für 2019, dort Punkt 11.2.4). 
Aus Gründen der Gleichbehandlung </t>
        </r>
        <r>
          <rPr>
            <i/>
            <sz val="11"/>
            <color indexed="81"/>
            <rFont val="Tahoma"/>
            <family val="2"/>
          </rPr>
          <t>sind</t>
        </r>
        <r>
          <rPr>
            <sz val="11"/>
            <color indexed="81"/>
            <rFont val="Tahoma"/>
            <family val="2"/>
          </rPr>
          <t xml:space="preserve"> m. E. 
- immer die Netzentgelte des vorgelagerten Netzes heranzuziehen, auch wenn die vorgelagerte Ebene und die Einspeiseebene identisch sind.
- die tatsächlich gezahlten Netzentgelte heranzuziehen, auch wenn den Einspeisern ein eventuell vorliegender Rabatt auf die regulären vorgelagerten Netzentgelten infolge einer Pancaking-Vereinbarung nicht bekannt ist.
Ein Rabatt auf die regulären vorgelagerten Netzentgelte ist auf das Referenzpreisblatt zu übertragen.
</t>
        </r>
        <r>
          <rPr>
            <u/>
            <sz val="11"/>
            <color indexed="81"/>
            <rFont val="Tahoma"/>
            <family val="2"/>
          </rPr>
          <t>Bezug von der vorgelagerten und von dergleichen Netzebene</t>
        </r>
        <r>
          <rPr>
            <sz val="11"/>
            <color indexed="81"/>
            <rFont val="Tahoma"/>
            <family val="2"/>
          </rPr>
          <t xml:space="preserve">
Auch beim Bezug von der vorgelagerten und von dergleichen Netzebene via Pancaking ist wie beim Bezug von der vorgelagerten Netzebene mit mehreren Preisen ein gewichteter Durchschnittspreis zu bilden. In den Durchschnittspreis gehen die Preise von verschiedenen Netzebenen ein.
Auch wenn tatsächlich mit dem </t>
        </r>
        <r>
          <rPr>
            <u/>
            <sz val="11"/>
            <color indexed="81"/>
            <rFont val="Tahoma"/>
            <family val="2"/>
          </rPr>
          <t>Preis kleiner 2.500 h</t>
        </r>
        <r>
          <rPr>
            <sz val="11"/>
            <color indexed="81"/>
            <rFont val="Tahoma"/>
            <family val="2"/>
          </rPr>
          <t xml:space="preserve"> bezogen wird, ist der Preis über 2.500 h heranzuziehen (Hinweise der BNetzA für Verteilernetzbetreiber zur Anpassung der Erlösobergrenze für 2019, dort Punkt 11.2.1).
</t>
        </r>
      </text>
    </comment>
    <comment ref="C28" authorId="0" shapeId="0" xr:uid="{00000000-0006-0000-0700-000010000000}">
      <text>
        <r>
          <rPr>
            <b/>
            <sz val="11"/>
            <color indexed="81"/>
            <rFont val="Tahoma"/>
            <family val="2"/>
          </rPr>
          <t>GW:</t>
        </r>
        <r>
          <rPr>
            <sz val="11"/>
            <color indexed="81"/>
            <rFont val="Tahoma"/>
            <family val="2"/>
          </rPr>
          <t xml:space="preserve">
Das Verfahren im VDN-Leitfaden sieht einen (einheitlichen) Anteilsfaktor </t>
        </r>
        <r>
          <rPr>
            <i/>
            <sz val="11"/>
            <color indexed="81"/>
            <rFont val="Tahoma"/>
            <family val="2"/>
          </rPr>
          <t>a</t>
        </r>
        <r>
          <rPr>
            <sz val="11"/>
            <color indexed="81"/>
            <rFont val="Tahoma"/>
            <family val="2"/>
          </rPr>
          <t xml:space="preserve"> (= </t>
        </r>
        <r>
          <rPr>
            <i/>
            <sz val="11"/>
            <color indexed="81"/>
            <rFont val="Tahoma"/>
            <family val="2"/>
          </rPr>
          <t>a</t>
        </r>
        <r>
          <rPr>
            <i/>
            <vertAlign val="superscript"/>
            <sz val="11"/>
            <color indexed="81"/>
            <rFont val="Tahoma"/>
            <family val="2"/>
          </rPr>
          <t>L</t>
        </r>
        <r>
          <rPr>
            <sz val="11"/>
            <color indexed="81"/>
            <rFont val="Tahoma"/>
            <family val="2"/>
          </rPr>
          <t xml:space="preserve"> = </t>
        </r>
        <r>
          <rPr>
            <i/>
            <sz val="11"/>
            <color indexed="81"/>
            <rFont val="Tahoma"/>
            <family val="2"/>
          </rPr>
          <t>a</t>
        </r>
        <r>
          <rPr>
            <i/>
            <vertAlign val="superscript"/>
            <sz val="11"/>
            <color indexed="81"/>
            <rFont val="Tahoma"/>
            <family val="2"/>
          </rPr>
          <t>nL</t>
        </r>
        <r>
          <rPr>
            <sz val="11"/>
            <color indexed="81"/>
            <rFont val="Tahoma"/>
            <family val="2"/>
          </rPr>
          <t xml:space="preserve">) vor, der die verstetige Leistung der leistungsgemessenen Einspeiser mit verstetigter Bewertung und die verstetigte Leistung der nicht leistungsgemessenen Einspeisern so umrechnet, dass sich der für diese Einspeiser ergebende Leistungswert zum Zeitpunkt </t>
        </r>
        <r>
          <rPr>
            <i/>
            <sz val="11"/>
            <color indexed="81"/>
            <rFont val="Tahoma"/>
            <family val="2"/>
          </rPr>
          <t>t</t>
        </r>
        <r>
          <rPr>
            <i/>
            <vertAlign val="subscript"/>
            <sz val="11"/>
            <color indexed="81"/>
            <rFont val="Tahoma"/>
            <family val="2"/>
          </rPr>
          <t>E</t>
        </r>
        <r>
          <rPr>
            <i/>
            <sz val="11"/>
            <color indexed="81"/>
            <rFont val="Tahoma"/>
            <family val="2"/>
          </rPr>
          <t xml:space="preserve"> </t>
        </r>
        <r>
          <rPr>
            <sz val="11"/>
            <color indexed="81"/>
            <rFont val="Tahoma"/>
            <family val="2"/>
          </rPr>
          <t>ergibt.
Verursachungsgerechter ist es, die Gruppe der leistungsgemessenen Einspeiser mit verstetigter Bewertung und die Gruppe der nicht leistungsgemessenen Einspeiser getrennt zu betrachten und für beide Gruppen jeweils einen Anteilsfaktor zu bestimmen. Im Ergebnis kommt es dann nur auf den Anteilsfaktor für leistungsgemessene Einspeiser mit verstetigter Bewertung an. Die verstetigte Leistung der nicht leistungsgemessenen Einspeiser multipliziert mit dem Anteilsfaktor für nicht leistungsgemessene Einspeiser wird nämlich nach § 18 Abs. 3 Satz 3 StromNEV nicht vergütet. 
Bei diesem Verfahren entfallen auf die Gruppe der leistungsgemessenen Einspeiser immer dieselben vermNE, unabhängig davon, wie viele leistungsgemessene Einspeiser eine Verstetigung wählen. Gibt es nur einen leistungsgemessenen Einspeiser mit verstetigter Bewertung, sind die rechnerische Leistung zum Zeitpunkt</t>
        </r>
        <r>
          <rPr>
            <i/>
            <sz val="11"/>
            <color indexed="81"/>
            <rFont val="Tahoma"/>
            <family val="2"/>
          </rPr>
          <t xml:space="preserve"> t</t>
        </r>
        <r>
          <rPr>
            <i/>
            <vertAlign val="subscript"/>
            <sz val="11"/>
            <color indexed="81"/>
            <rFont val="Tahoma"/>
            <family val="2"/>
          </rPr>
          <t>E</t>
        </r>
        <r>
          <rPr>
            <sz val="11"/>
            <color indexed="81"/>
            <rFont val="Tahoma"/>
            <family val="2"/>
          </rPr>
          <t xml:space="preserve"> und die gemessene Leistung zum Zeitpunkt </t>
        </r>
        <r>
          <rPr>
            <i/>
            <sz val="11"/>
            <color indexed="81"/>
            <rFont val="Tahoma"/>
            <family val="2"/>
          </rPr>
          <t>t</t>
        </r>
        <r>
          <rPr>
            <i/>
            <vertAlign val="subscript"/>
            <sz val="11"/>
            <color indexed="81"/>
            <rFont val="Tahoma"/>
            <family val="2"/>
          </rPr>
          <t>E</t>
        </r>
        <r>
          <rPr>
            <sz val="11"/>
            <color indexed="81"/>
            <rFont val="Tahoma"/>
            <family val="2"/>
          </rPr>
          <t xml:space="preserve"> identisch.
Dieses Tool unterstützt nur (noch) das verursachungsgerechte Verfahren mit 2 Anteilsfaktoren. </t>
        </r>
      </text>
    </comment>
    <comment ref="G28" authorId="0" shapeId="0" xr:uid="{00000000-0006-0000-0700-000011000000}">
      <text>
        <r>
          <rPr>
            <b/>
            <sz val="11"/>
            <color indexed="81"/>
            <rFont val="Segoe UI"/>
            <family val="2"/>
          </rPr>
          <t>GW:</t>
        </r>
        <r>
          <rPr>
            <sz val="11"/>
            <color indexed="81"/>
            <rFont val="Segoe UI"/>
            <family val="2"/>
          </rPr>
          <t xml:space="preserve">
§ 120 Abs. 4 EnWG: </t>
        </r>
        <r>
          <rPr>
            <vertAlign val="superscript"/>
            <sz val="11"/>
            <color indexed="81"/>
            <rFont val="Segoe UI"/>
            <family val="2"/>
          </rPr>
          <t>1</t>
        </r>
        <r>
          <rPr>
            <sz val="11"/>
            <color indexed="81"/>
            <rFont val="Segoe UI"/>
            <family val="2"/>
          </rPr>
          <t xml:space="preserve">Bei der Ermittlung der Entgelte für dezentrale Einspeisungen, die für den Zeitraum ab dem 1. Januar 2018 gezahlt werden, sind als Obergrenze diejenigen Netzentgelte der vorgelagerten Netz- oder Umspannebene zugrunde zu legen, die für diese Netz- oder Umspannebene am 31. Dezember 2016 anzuwenden waren. </t>
        </r>
        <r>
          <rPr>
            <vertAlign val="superscript"/>
            <sz val="11"/>
            <color indexed="81"/>
            <rFont val="Segoe UI"/>
            <family val="2"/>
          </rPr>
          <t>2</t>
        </r>
        <r>
          <rPr>
            <sz val="11"/>
            <color indexed="81"/>
            <rFont val="Segoe UI"/>
            <family val="2"/>
          </rPr>
          <t xml:space="preserve">Satz 1 ist auch für Erzeugungsanlagen anzuwenden, die nach dem 31. Dezember 2016 in Betrieb genommen worden sind oder werden.
§ 120 Abs. 5 Sätze 1 und 2 EnWG: </t>
        </r>
        <r>
          <rPr>
            <vertAlign val="superscript"/>
            <sz val="11"/>
            <color indexed="81"/>
            <rFont val="Segoe UI"/>
            <family val="2"/>
          </rPr>
          <t>1</t>
        </r>
        <r>
          <rPr>
            <sz val="11"/>
            <color indexed="81"/>
            <rFont val="Segoe UI"/>
            <family val="2"/>
          </rPr>
          <t xml:space="preserve">Bei der Ermittlung der Obergrenzen nach Absatz 4 sind ab dem 1. Januar 2018 von den Erlösobergrenzen der jeweiligen Übertragungsnetzbetreiber, so wie sie den jeweiligen Netzentgelten für das Kalenderjahr 2016 zugrunde lagen, die Kostenbestandteile nach § 17d Absatz 7 dieses Gesetzes und § 2 Absatz 5 des Energieleitungsausbaugesetzes in der bis zum Ablauf des 28. Dezember 2023 geltenden Fassung in Abzug zu bringen, die in die Netzentgelte eingeflossen sind. </t>
        </r>
        <r>
          <rPr>
            <vertAlign val="superscript"/>
            <sz val="11"/>
            <color indexed="81"/>
            <rFont val="Segoe UI"/>
            <family val="2"/>
          </rPr>
          <t>2</t>
        </r>
        <r>
          <rPr>
            <sz val="11"/>
            <color indexed="81"/>
            <rFont val="Segoe UI"/>
            <family val="2"/>
          </rPr>
          <t>Für die Zwecke der Berechnungsgrundlage zur Ermittlung der Entgelte für dezentrale Einspeisungen sind die Netzentgelte für das Kalenderjahr 2016 auf dieser Grundlage neu zu berechnen.</t>
        </r>
      </text>
    </comment>
    <comment ref="C29" authorId="0" shapeId="0" xr:uid="{00000000-0006-0000-0700-000012000000}">
      <text>
        <r>
          <rPr>
            <b/>
            <sz val="11"/>
            <color indexed="81"/>
            <rFont val="Tahoma"/>
            <family val="2"/>
          </rPr>
          <t>GW:</t>
        </r>
        <r>
          <rPr>
            <sz val="11"/>
            <color indexed="81"/>
            <rFont val="Tahoma"/>
            <family val="2"/>
          </rPr>
          <t xml:space="preserve">
0 ≤ </t>
        </r>
        <r>
          <rPr>
            <i/>
            <sz val="11"/>
            <color indexed="81"/>
            <rFont val="Tahoma"/>
            <family val="2"/>
          </rPr>
          <t>a</t>
        </r>
        <r>
          <rPr>
            <sz val="11"/>
            <color indexed="81"/>
            <rFont val="Tahoma"/>
            <family val="2"/>
          </rPr>
          <t xml:space="preserve">, der Anteilsfaktor kann insbesonder auch größer als 1 sein.
</t>
        </r>
      </text>
    </comment>
    <comment ref="T29" authorId="1" shapeId="0" xr:uid="{00000000-0006-0000-0700-000013000000}">
      <text>
        <r>
          <rPr>
            <b/>
            <sz val="11"/>
            <color indexed="81"/>
            <rFont val="Segoe UI"/>
            <family val="2"/>
          </rPr>
          <t xml:space="preserve">Auburger, Kilian (Reg </t>
        </r>
        <r>
          <rPr>
            <b/>
            <sz val="11"/>
            <color indexed="81"/>
            <rFont val="Tahoma"/>
            <family val="2"/>
          </rPr>
          <t>Oberpfalz):</t>
        </r>
        <r>
          <rPr>
            <sz val="11"/>
            <color indexed="81"/>
            <rFont val="Tahoma"/>
            <family val="2"/>
          </rPr>
          <t xml:space="preserve">
Siehe Kasten zur Netzreservekapazität (NRK) im Register "Allgemeines".</t>
        </r>
      </text>
    </comment>
    <comment ref="C30" authorId="0" shapeId="0" xr:uid="{00000000-0006-0000-0700-000014000000}">
      <text>
        <r>
          <rPr>
            <b/>
            <sz val="11"/>
            <color indexed="81"/>
            <rFont val="Tahoma"/>
            <family val="2"/>
          </rPr>
          <t>GW:</t>
        </r>
        <r>
          <rPr>
            <sz val="11"/>
            <color indexed="81"/>
            <rFont val="Tahoma"/>
            <family val="2"/>
          </rPr>
          <t xml:space="preserve">
0 ≤ </t>
        </r>
        <r>
          <rPr>
            <i/>
            <sz val="11"/>
            <color indexed="81"/>
            <rFont val="Tahoma"/>
            <family val="2"/>
          </rPr>
          <t>a</t>
        </r>
        <r>
          <rPr>
            <sz val="11"/>
            <color indexed="81"/>
            <rFont val="Tahoma"/>
            <family val="2"/>
          </rPr>
          <t xml:space="preserve">, der Anteilsfaktor kann insbesonder auch größer als 1 sein.
</t>
        </r>
      </text>
    </comment>
    <comment ref="A31" authorId="0" shapeId="0" xr:uid="{00000000-0006-0000-0700-000015000000}">
      <text>
        <r>
          <rPr>
            <b/>
            <sz val="11"/>
            <color indexed="81"/>
            <rFont val="Tahoma"/>
            <family val="2"/>
          </rPr>
          <t>GW:</t>
        </r>
        <r>
          <rPr>
            <sz val="11"/>
            <color indexed="81"/>
            <rFont val="Tahoma"/>
            <family val="2"/>
          </rPr>
          <t xml:space="preserve">
rechnet im ersten Bild den grünen Strich in den blauen Strich um</t>
        </r>
      </text>
    </comment>
    <comment ref="C31" authorId="0" shapeId="0" xr:uid="{00000000-0006-0000-0700-000016000000}">
      <text>
        <r>
          <rPr>
            <b/>
            <sz val="11"/>
            <color indexed="81"/>
            <rFont val="Tahoma"/>
            <family val="2"/>
          </rPr>
          <t>GW:</t>
        </r>
        <r>
          <rPr>
            <sz val="11"/>
            <color indexed="81"/>
            <rFont val="Tahoma"/>
            <family val="2"/>
          </rPr>
          <t xml:space="preserve">
0 ≤ </t>
        </r>
        <r>
          <rPr>
            <i/>
            <sz val="11"/>
            <color indexed="81"/>
            <rFont val="Tahoma"/>
            <family val="2"/>
          </rPr>
          <t>s</t>
        </r>
        <r>
          <rPr>
            <sz val="11"/>
            <color indexed="81"/>
            <rFont val="Tahoma"/>
            <family val="2"/>
          </rPr>
          <t xml:space="preserve"> ≤ 1
s = 0: keine tatsächliche Vermeidungsleistung in dieser Ebene des Netzbetreibers
s = 1: die Überspeisung zum Zeitpunkt </t>
        </r>
        <r>
          <rPr>
            <i/>
            <sz val="11"/>
            <color indexed="81"/>
            <rFont val="Tahoma"/>
            <family val="2"/>
          </rPr>
          <t>t</t>
        </r>
        <r>
          <rPr>
            <i/>
            <vertAlign val="subscript"/>
            <sz val="11"/>
            <color indexed="81"/>
            <rFont val="Tahoma"/>
            <family val="2"/>
          </rPr>
          <t>E</t>
        </r>
        <r>
          <rPr>
            <sz val="11"/>
            <color indexed="81"/>
            <rFont val="Tahoma"/>
            <family val="2"/>
          </rPr>
          <t xml:space="preserve"> ist 0 (</t>
        </r>
        <r>
          <rPr>
            <i/>
            <sz val="11"/>
            <color indexed="81"/>
            <rFont val="Tahoma"/>
            <family val="2"/>
          </rPr>
          <t>P</t>
        </r>
        <r>
          <rPr>
            <i/>
            <vertAlign val="subscript"/>
            <sz val="11"/>
            <color indexed="81"/>
            <rFont val="Tahoma"/>
            <family val="2"/>
          </rPr>
          <t>A,tE</t>
        </r>
        <r>
          <rPr>
            <sz val="11"/>
            <color indexed="81"/>
            <rFont val="Tahoma"/>
            <family val="2"/>
          </rPr>
          <t xml:space="preserve"> = 0) und die maximale Bezugslast und die Bezugslast zum Zeitpunkt </t>
        </r>
        <r>
          <rPr>
            <i/>
            <sz val="11"/>
            <color indexed="81"/>
            <rFont val="Tahoma"/>
            <family val="2"/>
          </rPr>
          <t>t</t>
        </r>
        <r>
          <rPr>
            <i/>
            <vertAlign val="subscript"/>
            <sz val="11"/>
            <color indexed="81"/>
            <rFont val="Tahoma"/>
            <family val="2"/>
          </rPr>
          <t>E</t>
        </r>
        <r>
          <rPr>
            <sz val="11"/>
            <color indexed="81"/>
            <rFont val="Tahoma"/>
            <family val="2"/>
          </rPr>
          <t xml:space="preserve"> sind identisch (</t>
        </r>
        <r>
          <rPr>
            <i/>
            <sz val="11"/>
            <color indexed="81"/>
            <rFont val="Tahoma"/>
            <family val="2"/>
          </rPr>
          <t>P</t>
        </r>
        <r>
          <rPr>
            <i/>
            <vertAlign val="subscript"/>
            <sz val="11"/>
            <color indexed="81"/>
            <rFont val="Tahoma"/>
            <family val="2"/>
          </rPr>
          <t>B,max</t>
        </r>
        <r>
          <rPr>
            <i/>
            <sz val="11"/>
            <color indexed="81"/>
            <rFont val="Tahoma"/>
            <family val="2"/>
          </rPr>
          <t xml:space="preserve"> = P</t>
        </r>
        <r>
          <rPr>
            <i/>
            <vertAlign val="subscript"/>
            <sz val="11"/>
            <color indexed="81"/>
            <rFont val="Tahoma"/>
            <family val="2"/>
          </rPr>
          <t>B,tE</t>
        </r>
        <r>
          <rPr>
            <i/>
            <sz val="11"/>
            <color indexed="81"/>
            <rFont val="Tahoma"/>
            <family val="2"/>
          </rPr>
          <t>)</t>
        </r>
      </text>
    </comment>
    <comment ref="R31" authorId="0" shapeId="0" xr:uid="{00000000-0006-0000-0700-000017000000}">
      <text>
        <r>
          <rPr>
            <b/>
            <sz val="11"/>
            <color indexed="81"/>
            <rFont val="Segoe UI"/>
            <family val="2"/>
          </rPr>
          <t>GW:</t>
        </r>
        <r>
          <rPr>
            <sz val="11"/>
            <color indexed="81"/>
            <rFont val="Segoe UI"/>
            <family val="2"/>
          </rPr>
          <t xml:space="preserve">
Alle Preise sind netto.</t>
        </r>
      </text>
    </comment>
    <comment ref="A35" authorId="0" shapeId="0" xr:uid="{00000000-0006-0000-0700-000018000000}">
      <text>
        <r>
          <rPr>
            <b/>
            <sz val="11"/>
            <color indexed="81"/>
            <rFont val="Tahoma"/>
            <family val="2"/>
          </rPr>
          <t>GW:</t>
        </r>
        <r>
          <rPr>
            <sz val="11"/>
            <color indexed="81"/>
            <rFont val="Tahoma"/>
            <family val="2"/>
          </rPr>
          <t xml:space="preserve">
Leistungsgemessene Einspeiser müssen nur dann gesondert aufgeführt werden, wenn sie einen Beitrag zur Vermeidungsleistung liefern, d. h. wenn sie zum Zeitpunkt der Jahreshöchstlast der verlustbehafteten Spannungsebene tatsächlich einspeisen. 
EEG-Einspeiser mit zeitweiliger oder prozentualer sonstiger Direktvermarktung müssen zweimal aufgeführt werden (einmal als EEG-Anlage und einmal als sonstige Anlage), um einen Vergleich mit dem EEG-Testat zu ermöglichen.</t>
        </r>
        <r>
          <rPr>
            <sz val="9"/>
            <color indexed="81"/>
            <rFont val="Tahoma"/>
            <family val="2"/>
          </rPr>
          <t xml:space="preserve">
</t>
        </r>
      </text>
    </comment>
    <comment ref="B35" authorId="0" shapeId="0" xr:uid="{00000000-0006-0000-0700-000019000000}">
      <text>
        <r>
          <rPr>
            <b/>
            <sz val="11"/>
            <color indexed="81"/>
            <rFont val="Tahoma"/>
            <family val="2"/>
          </rPr>
          <t>GW:</t>
        </r>
        <r>
          <rPr>
            <sz val="11"/>
            <color indexed="81"/>
            <rFont val="Tahoma"/>
            <family val="2"/>
          </rPr>
          <t xml:space="preserve">
Das Eingabefeld erscheint rot, 
- falls keine Auswahl getroffen wurde, obwohl ein Arbeits- oder ein Leistungswert eingegeben wurde oder
- die getroffene Auswahl nicht zulässig ist (entsteht z. B. beim Kopieren)
Anlagen mit sonstiger Direktvermarktung sind zweimal zu erfassen. Die Arbeit ist nach tatsächlichem Anfall, die Leistung zeitanteilig einzugeben (Gleicher Ansicht: Anhang zum BDEW/VKU – Beiblatt zum Kalkulationsleitfaden
nach § 18 StromNEV (Direktvermarktung von Strom aus EEG-Anlagen vom 09.10.2009)).</t>
        </r>
      </text>
    </comment>
    <comment ref="C35" authorId="0" shapeId="0" xr:uid="{00000000-0006-0000-0700-00001A000000}">
      <text>
        <r>
          <rPr>
            <b/>
            <sz val="11"/>
            <color indexed="81"/>
            <rFont val="Tahoma"/>
            <family val="2"/>
          </rPr>
          <t>GW:</t>
        </r>
        <r>
          <rPr>
            <sz val="11"/>
            <color indexed="81"/>
            <rFont val="Tahoma"/>
            <family val="2"/>
          </rPr>
          <t xml:space="preserve">
Bei Anlagen, die im Jahr 2017 oder früher in Betrieb genommen wurden, reicht es aus das Jahr 2017 einzugeben.
Das Auswahlfeld erscheint rot, wenn 
- eine Einspeiseart ausgewählt wurde und 
- weder ein Jahr der Inbetriebnahme noch ein passender Zeitraum der Inbetriebnahme eingegeben wurde.</t>
        </r>
      </text>
    </comment>
    <comment ref="D35" authorId="1" shapeId="0" xr:uid="{00000000-0006-0000-0700-00001B000000}">
      <text>
        <r>
          <rPr>
            <b/>
            <sz val="11"/>
            <color indexed="81"/>
            <rFont val="Tahoma"/>
            <family val="2"/>
          </rPr>
          <t>Auburger, Kilian (Reg Oberpfalz):</t>
        </r>
        <r>
          <rPr>
            <sz val="11"/>
            <color indexed="81"/>
            <rFont val="Tahoma"/>
            <family val="2"/>
          </rPr>
          <t xml:space="preserve">
Die fikitive Einspeisung des Selbstverbrauchs eines dezentralen Einspeisers ist nicht ansetzbar, da es bei der fiktiven Rücklieferung des Selbstverbrauchs eine Gegenposition in gleicher Höhe gibt. </t>
        </r>
      </text>
    </comment>
    <comment ref="F35" authorId="0" shapeId="0" xr:uid="{00000000-0006-0000-0700-00001C000000}">
      <text>
        <r>
          <rPr>
            <b/>
            <sz val="11"/>
            <color indexed="81"/>
            <rFont val="Tahoma"/>
            <family val="2"/>
          </rPr>
          <t>GW:</t>
        </r>
        <r>
          <rPr>
            <sz val="11"/>
            <color indexed="81"/>
            <rFont val="Tahoma"/>
            <family val="2"/>
          </rPr>
          <t xml:space="preserve">
Das Eingabefeld erscheint rot, 
- falls keine Auswahl getroffen wurde, obwohl ein Arbeits- oder ein Leistungswert eingegeben wurde oder
- falls der Einspeiser einen überwiegenden Anteil an der Vermeidungsleistung hat oder
- falls es sich um einen EEG-Einspeiser handelt und „j“ gewählt wurde.
Es ist meistens "n" zu wählen, da ein leistungsgemessener Einspeiser meistens auch seinen leistungsgemessenen Wert berücksichtigt haben möchte.
Der VDN-Leitfaden geht davon aus, dass sämtliche EEG-Anlagen verstetigt werden (Seite 5, letzter Satz). Wir halten dies weder für sachgerecht noch für verursachungsgerecht. Das Eingabefeld erscheint bei einer verstetigten EEG-Anlage deshalb rot. 
Würde ein EEG-Einspeiser eine Verstetigung wählen, würde dieser EEG-Einspeiser die vermNE der anderen leistungsgemessenen Einspeiser mit verstetigter Bewertung beeinflussen. Die Vergütung dieses EEG-Einspeisers würde sich aber nicht ändern, da sie sich nach dem EEG richtet. Insbesondere würde ein (volatiler) EEG-Einspeiser der zum Zeitpunkt der maximalen verlustbehafteten Entnahmelast nicht einspeist, die vermNE der anderen Einspeiser mit verstetigter Bewertung reduzieren. 
Im Tool können nur Einspeiser verstetigt werden, die keinen überwiegenden Anteil an der Vermeidungsleistung haben (vgl. § 18 Abs. 3 Satz 2 StromNEV).
Der </t>
        </r>
        <r>
          <rPr>
            <i/>
            <sz val="11"/>
            <color indexed="81"/>
            <rFont val="Tahoma"/>
            <family val="2"/>
          </rPr>
          <t>k</t>
        </r>
        <r>
          <rPr>
            <sz val="11"/>
            <color indexed="81"/>
            <rFont val="Tahoma"/>
            <family val="2"/>
          </rPr>
          <t xml:space="preserve">-te leistungsgemessene Einspeiser hat keinen überwiegenden Anteil an der Vermeidungsleistung, falls 2 * </t>
        </r>
        <r>
          <rPr>
            <i/>
            <sz val="11"/>
            <color indexed="81"/>
            <rFont val="Tahoma"/>
            <family val="2"/>
          </rPr>
          <t>P</t>
        </r>
        <r>
          <rPr>
            <i/>
            <vertAlign val="superscript"/>
            <sz val="11"/>
            <color indexed="81"/>
            <rFont val="Tahoma"/>
            <family val="2"/>
          </rPr>
          <t>k</t>
        </r>
        <r>
          <rPr>
            <i/>
            <vertAlign val="subscript"/>
            <sz val="11"/>
            <color indexed="81"/>
            <rFont val="Tahoma"/>
            <family val="2"/>
          </rPr>
          <t>i,tE</t>
        </r>
        <r>
          <rPr>
            <sz val="11"/>
            <color indexed="81"/>
            <rFont val="Tahoma"/>
            <family val="2"/>
          </rPr>
          <t xml:space="preserve"> &lt;= </t>
        </r>
        <r>
          <rPr>
            <i/>
            <sz val="11"/>
            <color indexed="81"/>
            <rFont val="Tahoma"/>
            <family val="2"/>
          </rPr>
          <t>P</t>
        </r>
        <r>
          <rPr>
            <i/>
            <vertAlign val="subscript"/>
            <sz val="11"/>
            <color indexed="81"/>
            <rFont val="Tahoma"/>
            <family val="2"/>
          </rPr>
          <t>verm,tE</t>
        </r>
        <r>
          <rPr>
            <sz val="11"/>
            <color indexed="81"/>
            <rFont val="Tahoma"/>
            <family val="2"/>
          </rPr>
          <t xml:space="preserve">. Nach dem Wortlaut der StromNEV wird auf die Vermeidungsleistung abgestellt, ohne klarzustellen, ob die Vermeidungsleistung zum Zeitpunkt </t>
        </r>
        <r>
          <rPr>
            <i/>
            <sz val="11"/>
            <color indexed="81"/>
            <rFont val="Tahoma"/>
            <family val="2"/>
          </rPr>
          <t>t</t>
        </r>
        <r>
          <rPr>
            <i/>
            <vertAlign val="subscript"/>
            <sz val="11"/>
            <color indexed="81"/>
            <rFont val="Tahoma"/>
            <family val="2"/>
          </rPr>
          <t>E</t>
        </r>
        <r>
          <rPr>
            <sz val="11"/>
            <color indexed="81"/>
            <rFont val="Tahoma"/>
            <family val="2"/>
          </rPr>
          <t xml:space="preserve"> oder die tatsächliche Vermeidungsleistung gemeint ist. Da ein Anteil anzuwenden ist und die Leistung des k-ten Einspeisers zum Zeitpunkt </t>
        </r>
        <r>
          <rPr>
            <i/>
            <sz val="11"/>
            <color indexed="81"/>
            <rFont val="Tahoma"/>
            <family val="2"/>
          </rPr>
          <t>t</t>
        </r>
        <r>
          <rPr>
            <i/>
            <vertAlign val="subscript"/>
            <sz val="11"/>
            <color indexed="81"/>
            <rFont val="Tahoma"/>
            <family val="2"/>
          </rPr>
          <t>E</t>
        </r>
        <r>
          <rPr>
            <i/>
            <sz val="11"/>
            <color indexed="81"/>
            <rFont val="Tahoma"/>
            <family val="2"/>
          </rPr>
          <t xml:space="preserve"> </t>
        </r>
        <r>
          <rPr>
            <sz val="11"/>
            <color indexed="81"/>
            <rFont val="Tahoma"/>
            <family val="2"/>
          </rPr>
          <t xml:space="preserve">herangezogen wird, muss die Vermeidungsleistung zum Zeitpunkt </t>
        </r>
        <r>
          <rPr>
            <i/>
            <sz val="11"/>
            <color indexed="81"/>
            <rFont val="Tahoma"/>
            <family val="2"/>
          </rPr>
          <t>t</t>
        </r>
        <r>
          <rPr>
            <i/>
            <vertAlign val="subscript"/>
            <sz val="11"/>
            <color indexed="81"/>
            <rFont val="Tahoma"/>
            <family val="2"/>
          </rPr>
          <t>E</t>
        </r>
        <r>
          <rPr>
            <sz val="11"/>
            <color indexed="81"/>
            <rFont val="Tahoma"/>
            <family val="2"/>
          </rPr>
          <t xml:space="preserve"> gemeint sein.
Das einmal gewählte Verfahren sollte über mehrere Jahre beibehalten werden.
In der Praxis finden sich z. B. beim Bayernwerk auch folgende Regelungen: 
- Keine Wahlmöglichkeit haben leistungsgemessene Einspeiser, bei denen die maximale Einspeiseleistung 2 MW (NE4, NE5, NE6 und NE7) bzw. 20 MW (NE2 und NE3) übersteigt.
- Einspeiser mit Wahlmöglichkeit müssen sich im Vorjahr bis spätestens 30.11. entscheiden, welches Verfahren sie gerne hätten.
</t>
        </r>
      </text>
    </comment>
    <comment ref="G35" authorId="0" shapeId="0" xr:uid="{00000000-0006-0000-0700-00001D000000}">
      <text>
        <r>
          <rPr>
            <b/>
            <sz val="11"/>
            <color indexed="81"/>
            <rFont val="Tahoma"/>
            <family val="2"/>
          </rPr>
          <t>GW:</t>
        </r>
        <r>
          <rPr>
            <sz val="11"/>
            <color indexed="81"/>
            <rFont val="Tahoma"/>
            <family val="2"/>
          </rPr>
          <t xml:space="preserve">
Diese Zahl wird auch bei einer Verstetigung benötigt, um zu überprüfen, ob der Einspeiser einen überwiegenden Anteil an der Vermeidungsleistung hat (vgl. § 18 Abs. 3 Satz 2).</t>
        </r>
      </text>
    </comment>
    <comment ref="H35" authorId="0" shapeId="0" xr:uid="{00000000-0006-0000-0700-00001E000000}">
      <text>
        <r>
          <rPr>
            <b/>
            <sz val="11"/>
            <color indexed="81"/>
            <rFont val="Arial"/>
            <family val="2"/>
          </rPr>
          <t>GW:</t>
        </r>
        <r>
          <rPr>
            <sz val="11"/>
            <color indexed="81"/>
            <rFont val="Arial"/>
            <family val="2"/>
          </rPr>
          <t xml:space="preserve">
(gemessene Leistung) oder
(verstetigte Leistung *  a</t>
        </r>
        <r>
          <rPr>
            <vertAlign val="superscript"/>
            <sz val="11"/>
            <color indexed="81"/>
            <rFont val="Arial"/>
            <family val="2"/>
          </rPr>
          <t>L</t>
        </r>
        <r>
          <rPr>
            <sz val="11"/>
            <color indexed="81"/>
            <rFont val="Arial"/>
            <family val="2"/>
          </rPr>
          <t xml:space="preserve"> bzw. a</t>
        </r>
        <r>
          <rPr>
            <vertAlign val="superscript"/>
            <sz val="11"/>
            <color indexed="81"/>
            <rFont val="Arial"/>
            <family val="2"/>
          </rPr>
          <t>nL</t>
        </r>
        <r>
          <rPr>
            <sz val="11"/>
            <color indexed="81"/>
            <rFont val="Arial"/>
            <family val="2"/>
          </rPr>
          <t>)</t>
        </r>
      </text>
    </comment>
    <comment ref="J35" authorId="1" shapeId="0" xr:uid="{00000000-0006-0000-0700-00001F000000}">
      <text>
        <r>
          <rPr>
            <b/>
            <sz val="11"/>
            <color indexed="81"/>
            <rFont val="Tahoma"/>
            <family val="2"/>
          </rPr>
          <t>Auburger, Kilian (Reg Oberpfalz):</t>
        </r>
        <r>
          <rPr>
            <sz val="11"/>
            <color indexed="81"/>
            <rFont val="Tahoma"/>
            <family val="2"/>
          </rPr>
          <t xml:space="preserve">
Dieses Feld erscheint rot, wenn die eingetragene Gewichtung
- bei EEG-, KWKG- und sonstigen Einspeisern sowie Einspeisern ohne vermNE nicht der Gewichtung nach § 18 Abs. 1 Satz 1 und 2 sowie § 18 Abs. 5 StromNEV entspricht oder 
- bei Rückspeisung aus der eigenen nachgelagerten Ebene von der berechneten Gewichtung in Zelle J21 abweicht.</t>
        </r>
        <r>
          <rPr>
            <sz val="9"/>
            <color indexed="81"/>
            <rFont val="Segoe UI"/>
            <family val="2"/>
          </rPr>
          <t xml:space="preserve">
</t>
        </r>
      </text>
    </comment>
    <comment ref="K35" authorId="1" shapeId="0" xr:uid="{00000000-0006-0000-0700-000020000000}">
      <text>
        <r>
          <rPr>
            <b/>
            <sz val="11"/>
            <color indexed="81"/>
            <rFont val="Tahoma"/>
            <family val="2"/>
          </rPr>
          <t>Auburger, Kilian (Reg Oberpfalz):</t>
        </r>
        <r>
          <rPr>
            <sz val="11"/>
            <color indexed="81"/>
            <rFont val="Tahoma"/>
            <family val="2"/>
          </rPr>
          <t xml:space="preserve">
Dieses Feld erscheint rot, wenn die eingetragene Gewichtung
- bei EEG-, KWKG- und sonstigen Einspeisern sowie Einspeisern ohne vermNE nicht mit der Gewichtung der Arbeit desselben Einspeisers übereinstimmt oder 
- bei Rückspeisung aus der eigenen nachgelagerten Ebene von der berechneten Gewichtung in Zelle K21 abweicht.</t>
        </r>
        <r>
          <rPr>
            <sz val="9"/>
            <color indexed="81"/>
            <rFont val="Segoe UI"/>
            <family val="2"/>
          </rPr>
          <t xml:space="preserve">
</t>
        </r>
      </text>
    </comment>
    <comment ref="M35" authorId="0" shapeId="0" xr:uid="{00000000-0006-0000-0700-000021000000}">
      <text>
        <r>
          <rPr>
            <b/>
            <sz val="11"/>
            <color indexed="81"/>
            <rFont val="Tahoma"/>
            <family val="2"/>
          </rPr>
          <t>GW:</t>
        </r>
        <r>
          <rPr>
            <sz val="11"/>
            <color indexed="81"/>
            <rFont val="Tahoma"/>
            <family val="2"/>
          </rPr>
          <t xml:space="preserve">
R: Referenzpreisblatt
A: aktuelles Preisblatt
In diesem Tool wird - abweichend von der Anwendungshilfe "Fragen und Antworten zur Umsetzung des NEMoG", Ergänzung vom 20.06.2018, 2. Antwort - für jeden Einspeiser einzeln entschieden, welches Preisblatt zur Anwendung kommt. Unterschiedliche Preisblätter kommen in der Regel dann zur Anwendung, wenn in einem Preisblatt der Arbeitspreis und dem [einem] anderen Preisblatt der Leistungspreis größer ist.
Die Begründung der abweichenden Vorgehensweise liegt in der Transparenz für den Einspeiser: Ein Einspeiser kann die im Tool verwendete Vorgehensweise nachvollziehen. Die Berechnung einer Briefmarke kann man hingegen von einem Einspeiser nicht erwarten.
Die gesetzliche Regelung findet sich § 120 Abs. 4 Satz 1 EnWG.</t>
        </r>
      </text>
    </comment>
    <comment ref="U35" authorId="0" shapeId="0" xr:uid="{00000000-0006-0000-0700-000022000000}">
      <text>
        <r>
          <rPr>
            <b/>
            <sz val="11"/>
            <color indexed="81"/>
            <rFont val="Tahoma"/>
            <family val="2"/>
          </rPr>
          <t>GW:</t>
        </r>
        <r>
          <rPr>
            <sz val="11"/>
            <color indexed="81"/>
            <rFont val="Tahoma"/>
            <family val="2"/>
          </rPr>
          <t xml:space="preserve">
Dieser Schlüssel verteilt die erhaltene Rückspeisevergütung für Leistung auf die dezentralen Einspeiser.
Der Schlüssel 2 berücksichtigt den Zeitpunkt, der Grundlage war für die erhaltene Rückspeisevergütung für Leistung, und ist daher grundsätzlich dem Schlüssel 1 und dem Schlüssel 3 vorzuziehen. 
Für Schlüssel 3 spricht, dass ein Einspeiser einen Zeitpunkt besser planen kann. Für Schlüssel 1 und Schlüssel 3 spricht die einfachere Handhabung. In der Praxis kann man sich deshalb oft mit dem Schlüssel 1 oder mit dem Schlüssel 3 behelfen.
Für den Fall, dass die Jahreshöchstlast der Ebene und die Jahreshöchstlast der vorgelagerten Ebene zum selben Zeitpunkt auftritt, fallen Schlüssel 2 und Schlüssel 3 zusammen.
Schlüssel 1 entspricht einer Verstetigung sämtlicher Einspeiser bei der Rückspeisung.
</t>
        </r>
      </text>
    </comment>
    <comment ref="W35" authorId="1" shapeId="0" xr:uid="{00000000-0006-0000-0700-000023000000}">
      <text>
        <r>
          <rPr>
            <b/>
            <sz val="11"/>
            <color indexed="81"/>
            <rFont val="Segoe UI"/>
            <family val="2"/>
          </rPr>
          <t xml:space="preserve">Auburger, Kilian (Reg </t>
        </r>
        <r>
          <rPr>
            <b/>
            <sz val="11"/>
            <color indexed="81"/>
            <rFont val="Tahoma"/>
            <family val="2"/>
          </rPr>
          <t>Oberpfalz):</t>
        </r>
        <r>
          <rPr>
            <sz val="11"/>
            <color indexed="81"/>
            <rFont val="Tahoma"/>
            <family val="2"/>
          </rPr>
          <t xml:space="preserve">
Die weitergegebenen Kosten müssen in Summe mit den bei den vorgelagerten Netzkosten angesetzten Kosten übereinstimmen. Die Verteilung auf die Einspeiser ist jeweils im Einzelfall zu entscheiden.</t>
        </r>
      </text>
    </comment>
    <comment ref="A51" authorId="0" shapeId="0" xr:uid="{00000000-0006-0000-0700-000024000000}">
      <text>
        <r>
          <rPr>
            <b/>
            <sz val="12"/>
            <color indexed="81"/>
            <rFont val="Tahoma"/>
            <family val="2"/>
          </rPr>
          <t>GW:</t>
        </r>
        <r>
          <rPr>
            <sz val="12"/>
            <color indexed="81"/>
            <rFont val="Tahoma"/>
            <family val="2"/>
          </rPr>
          <t xml:space="preserve">
</t>
        </r>
        <r>
          <rPr>
            <sz val="11"/>
            <color indexed="81"/>
            <rFont val="Tahoma"/>
            <family val="2"/>
          </rPr>
          <t>EEG-Einspeiser mit zeitweiliger oder prozentualer sonstiger Direktvermarktung müssen zweimal berücksichtigt werden (einmal als EEG-Anlage und einmal als sonstige Anlage), um einen Vergleich mit dem EEG-Testat zu ermöglichen.</t>
        </r>
      </text>
    </comment>
    <comment ref="E69" authorId="0" shapeId="0" xr:uid="{00000000-0006-0000-0700-000025000000}">
      <text>
        <r>
          <rPr>
            <b/>
            <sz val="11"/>
            <color indexed="81"/>
            <rFont val="Tahoma"/>
            <family val="2"/>
          </rPr>
          <t>GW:</t>
        </r>
        <r>
          <rPr>
            <sz val="11"/>
            <color indexed="81"/>
            <rFont val="Tahoma"/>
            <family val="2"/>
          </rPr>
          <t xml:space="preserve">
Diese Zelle erschein rot, wenn die Rechnung oben zu einem anderen Wert führt.</t>
        </r>
      </text>
    </comment>
    <comment ref="O69" authorId="0" shapeId="0" xr:uid="{00000000-0006-0000-0700-000026000000}">
      <text>
        <r>
          <rPr>
            <b/>
            <sz val="11"/>
            <color indexed="81"/>
            <rFont val="Tahoma"/>
            <family val="2"/>
          </rPr>
          <t>GW:</t>
        </r>
        <r>
          <rPr>
            <sz val="11"/>
            <color indexed="81"/>
            <rFont val="Tahoma"/>
            <family val="2"/>
          </rPr>
          <t xml:space="preserve">
Diese Zelle erschein rot, wenn die Rechnung oben zu einem anderen Wert führt.</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GW</author>
    <author>Auburger, Kilian (Reg Oberpfalz)</author>
  </authors>
  <commentList>
    <comment ref="A8" authorId="0" shapeId="0" xr:uid="{00000000-0006-0000-0800-000001000000}">
      <text>
        <r>
          <rPr>
            <b/>
            <sz val="11"/>
            <color indexed="81"/>
            <rFont val="Tahoma"/>
            <family val="2"/>
          </rPr>
          <t>GW:</t>
        </r>
        <r>
          <rPr>
            <sz val="11"/>
            <color indexed="81"/>
            <rFont val="Tahoma"/>
            <family val="2"/>
          </rPr>
          <t xml:space="preserve">
rechnerischer Wert unter der Voraussetzung, dass Arbeit nur von der vorgelagerten Netzebene eingespeist wird.</t>
        </r>
      </text>
    </comment>
    <comment ref="C10" authorId="0" shapeId="0" xr:uid="{00000000-0006-0000-0800-000002000000}">
      <text>
        <r>
          <rPr>
            <b/>
            <sz val="11"/>
            <color indexed="81"/>
            <rFont val="Tahoma"/>
            <family val="2"/>
          </rPr>
          <t>GW:</t>
        </r>
        <r>
          <rPr>
            <sz val="11"/>
            <color indexed="81"/>
            <rFont val="Tahoma"/>
            <family val="2"/>
          </rPr>
          <t xml:space="preserve">
Diese Zelle erschein rot, wenn die Rechnung unten zu einem anderen Wert führt.
Wegen
</t>
        </r>
        <r>
          <rPr>
            <i/>
            <sz val="11"/>
            <color indexed="81"/>
            <rFont val="Tahoma"/>
            <family val="2"/>
          </rPr>
          <t>B</t>
        </r>
        <r>
          <rPr>
            <i/>
            <vertAlign val="subscript"/>
            <sz val="11"/>
            <color indexed="81"/>
            <rFont val="Tahoma"/>
            <family val="2"/>
          </rPr>
          <t>eN</t>
        </r>
        <r>
          <rPr>
            <i/>
            <sz val="11"/>
            <color indexed="81"/>
            <rFont val="Tahoma"/>
            <family val="2"/>
          </rPr>
          <t xml:space="preserve"> + B</t>
        </r>
        <r>
          <rPr>
            <i/>
            <vertAlign val="subscript"/>
            <sz val="11"/>
            <color indexed="81"/>
            <rFont val="Tahoma"/>
            <family val="2"/>
          </rPr>
          <t>fN</t>
        </r>
        <r>
          <rPr>
            <i/>
            <sz val="11"/>
            <color indexed="81"/>
            <rFont val="Tahoma"/>
            <family val="2"/>
          </rPr>
          <t xml:space="preserve"> + D + R</t>
        </r>
        <r>
          <rPr>
            <i/>
            <vertAlign val="subscript"/>
            <sz val="11"/>
            <color indexed="81"/>
            <rFont val="Tahoma"/>
            <family val="2"/>
          </rPr>
          <t>eN</t>
        </r>
        <r>
          <rPr>
            <i/>
            <sz val="11"/>
            <color indexed="81"/>
            <rFont val="Tahoma"/>
            <family val="2"/>
          </rPr>
          <t xml:space="preserve"> + R</t>
        </r>
        <r>
          <rPr>
            <i/>
            <vertAlign val="subscript"/>
            <sz val="11"/>
            <color indexed="81"/>
            <rFont val="Tahoma"/>
            <family val="2"/>
          </rPr>
          <t>fN</t>
        </r>
        <r>
          <rPr>
            <i/>
            <sz val="11"/>
            <color indexed="81"/>
            <rFont val="Tahoma"/>
            <family val="2"/>
          </rPr>
          <t xml:space="preserve"> = L + eN + fN + A</t>
        </r>
        <r>
          <rPr>
            <i/>
            <vertAlign val="subscript"/>
            <sz val="11"/>
            <color indexed="81"/>
            <rFont val="Tahoma"/>
            <family val="2"/>
          </rPr>
          <t>eN</t>
        </r>
        <r>
          <rPr>
            <i/>
            <sz val="11"/>
            <color indexed="81"/>
            <rFont val="Tahoma"/>
            <family val="2"/>
          </rPr>
          <t xml:space="preserve"> + A</t>
        </r>
        <r>
          <rPr>
            <i/>
            <vertAlign val="subscript"/>
            <sz val="11"/>
            <color indexed="81"/>
            <rFont val="Tahoma"/>
            <family val="2"/>
          </rPr>
          <t>fN</t>
        </r>
        <r>
          <rPr>
            <i/>
            <sz val="11"/>
            <color indexed="81"/>
            <rFont val="Tahoma"/>
            <family val="2"/>
          </rPr>
          <t xml:space="preserve"> +V
= (L + eN + fN + A</t>
        </r>
        <r>
          <rPr>
            <i/>
            <vertAlign val="subscript"/>
            <sz val="11"/>
            <color indexed="81"/>
            <rFont val="Tahoma"/>
            <family val="2"/>
          </rPr>
          <t>eN</t>
        </r>
        <r>
          <rPr>
            <i/>
            <sz val="11"/>
            <color indexed="81"/>
            <rFont val="Tahoma"/>
            <family val="2"/>
          </rPr>
          <t xml:space="preserve"> + A</t>
        </r>
        <r>
          <rPr>
            <i/>
            <vertAlign val="subscript"/>
            <sz val="11"/>
            <color indexed="81"/>
            <rFont val="Tahoma"/>
            <family val="2"/>
          </rPr>
          <t>fN</t>
        </r>
        <r>
          <rPr>
            <i/>
            <sz val="11"/>
            <color indexed="81"/>
            <rFont val="Tahoma"/>
            <family val="2"/>
          </rPr>
          <t>) * (1+v)
= (L + eN + fN) * (1+v) + (A</t>
        </r>
        <r>
          <rPr>
            <i/>
            <vertAlign val="subscript"/>
            <sz val="11"/>
            <color indexed="81"/>
            <rFont val="Tahoma"/>
            <family val="2"/>
          </rPr>
          <t>eN</t>
        </r>
        <r>
          <rPr>
            <i/>
            <sz val="11"/>
            <color indexed="81"/>
            <rFont val="Tahoma"/>
            <family val="2"/>
          </rPr>
          <t xml:space="preserve"> + A</t>
        </r>
        <r>
          <rPr>
            <i/>
            <vertAlign val="subscript"/>
            <sz val="11"/>
            <color indexed="81"/>
            <rFont val="Tahoma"/>
            <family val="2"/>
          </rPr>
          <t>fN</t>
        </r>
        <r>
          <rPr>
            <i/>
            <sz val="11"/>
            <color indexed="81"/>
            <rFont val="Tahoma"/>
            <family val="2"/>
          </rPr>
          <t>) * (1+v)
= E</t>
        </r>
        <r>
          <rPr>
            <i/>
            <vertAlign val="subscript"/>
            <sz val="11"/>
            <color indexed="81"/>
            <rFont val="Tahoma"/>
            <family val="2"/>
          </rPr>
          <t>max</t>
        </r>
        <r>
          <rPr>
            <i/>
            <sz val="11"/>
            <color indexed="81"/>
            <rFont val="Tahoma"/>
            <family val="2"/>
          </rPr>
          <t xml:space="preserve"> + (A</t>
        </r>
        <r>
          <rPr>
            <i/>
            <vertAlign val="subscript"/>
            <sz val="11"/>
            <color indexed="81"/>
            <rFont val="Tahoma"/>
            <family val="2"/>
          </rPr>
          <t>eN</t>
        </r>
        <r>
          <rPr>
            <i/>
            <sz val="11"/>
            <color indexed="81"/>
            <rFont val="Tahoma"/>
            <family val="2"/>
          </rPr>
          <t xml:space="preserve"> + A</t>
        </r>
        <r>
          <rPr>
            <i/>
            <vertAlign val="subscript"/>
            <sz val="11"/>
            <color indexed="81"/>
            <rFont val="Tahoma"/>
            <family val="2"/>
          </rPr>
          <t>fN</t>
        </r>
        <r>
          <rPr>
            <i/>
            <sz val="11"/>
            <color indexed="81"/>
            <rFont val="Tahoma"/>
            <family val="2"/>
          </rPr>
          <t>) * (1+v)</t>
        </r>
        <r>
          <rPr>
            <sz val="11"/>
            <color indexed="81"/>
            <rFont val="Tahoma"/>
            <family val="2"/>
          </rPr>
          <t xml:space="preserve">
gilt
</t>
        </r>
        <r>
          <rPr>
            <i/>
            <sz val="11"/>
            <color indexed="81"/>
            <rFont val="Tahoma"/>
            <family val="2"/>
          </rPr>
          <t>E</t>
        </r>
        <r>
          <rPr>
            <i/>
            <vertAlign val="subscript"/>
            <sz val="11"/>
            <color indexed="81"/>
            <rFont val="Tahoma"/>
            <family val="2"/>
          </rPr>
          <t>max</t>
        </r>
        <r>
          <rPr>
            <i/>
            <sz val="11"/>
            <color indexed="81"/>
            <rFont val="Tahoma"/>
            <family val="2"/>
          </rPr>
          <t xml:space="preserve"> - B</t>
        </r>
        <r>
          <rPr>
            <i/>
            <vertAlign val="subscript"/>
            <sz val="11"/>
            <color indexed="81"/>
            <rFont val="Tahoma"/>
            <family val="2"/>
          </rPr>
          <t>eN</t>
        </r>
        <r>
          <rPr>
            <i/>
            <sz val="11"/>
            <color indexed="81"/>
            <rFont val="Tahoma"/>
            <family val="2"/>
          </rPr>
          <t xml:space="preserve"> - B</t>
        </r>
        <r>
          <rPr>
            <i/>
            <vertAlign val="subscript"/>
            <sz val="11"/>
            <color indexed="81"/>
            <rFont val="Tahoma"/>
            <family val="2"/>
          </rPr>
          <t>fN</t>
        </r>
        <r>
          <rPr>
            <i/>
            <sz val="11"/>
            <color indexed="81"/>
            <rFont val="Tahoma"/>
            <family val="2"/>
          </rPr>
          <t xml:space="preserve"> = D + R</t>
        </r>
        <r>
          <rPr>
            <i/>
            <vertAlign val="subscript"/>
            <sz val="11"/>
            <color indexed="81"/>
            <rFont val="Tahoma"/>
            <family val="2"/>
          </rPr>
          <t>eN</t>
        </r>
        <r>
          <rPr>
            <i/>
            <sz val="11"/>
            <color indexed="81"/>
            <rFont val="Tahoma"/>
            <family val="2"/>
          </rPr>
          <t xml:space="preserve"> + R</t>
        </r>
        <r>
          <rPr>
            <i/>
            <vertAlign val="subscript"/>
            <sz val="11"/>
            <color indexed="81"/>
            <rFont val="Tahoma"/>
            <family val="2"/>
          </rPr>
          <t>fN</t>
        </r>
        <r>
          <rPr>
            <i/>
            <sz val="11"/>
            <color indexed="81"/>
            <rFont val="Tahoma"/>
            <family val="2"/>
          </rPr>
          <t xml:space="preserve"> - (A</t>
        </r>
        <r>
          <rPr>
            <i/>
            <vertAlign val="subscript"/>
            <sz val="11"/>
            <color indexed="81"/>
            <rFont val="Tahoma"/>
            <family val="2"/>
          </rPr>
          <t>eN</t>
        </r>
        <r>
          <rPr>
            <i/>
            <sz val="11"/>
            <color indexed="81"/>
            <rFont val="Tahoma"/>
            <family val="2"/>
          </rPr>
          <t xml:space="preserve"> + A</t>
        </r>
        <r>
          <rPr>
            <i/>
            <vertAlign val="subscript"/>
            <sz val="11"/>
            <color indexed="81"/>
            <rFont val="Tahoma"/>
            <family val="2"/>
          </rPr>
          <t>fN</t>
        </r>
        <r>
          <rPr>
            <i/>
            <sz val="11"/>
            <color indexed="81"/>
            <rFont val="Tahoma"/>
            <family val="2"/>
          </rPr>
          <t>) * (1+v) = E</t>
        </r>
        <r>
          <rPr>
            <i/>
            <vertAlign val="subscript"/>
            <sz val="11"/>
            <color indexed="81"/>
            <rFont val="Tahoma"/>
            <family val="2"/>
          </rPr>
          <t>verm,tat</t>
        </r>
      </text>
    </comment>
    <comment ref="P13" authorId="0" shapeId="0" xr:uid="{00000000-0006-0000-0800-000003000000}">
      <text>
        <r>
          <rPr>
            <b/>
            <sz val="11"/>
            <color indexed="81"/>
            <rFont val="Tahoma"/>
            <family val="2"/>
          </rPr>
          <t>GW:</t>
        </r>
        <r>
          <rPr>
            <sz val="11"/>
            <color indexed="81"/>
            <rFont val="Tahoma"/>
            <family val="2"/>
          </rPr>
          <t xml:space="preserve">
Es ist nur die Vergütung anzusetzen, die auch den vermNE im EEG-Testat bzw. an die Einspeiser zugrunde lag. Stehen die endgültigen Einspeisevergütungssätze erst danach fest, sind grundsätzlich das EEG-Testat und die Gutschriften an die anderen Einspeiser zu korrigieren. 
Bei kleineren Beträgen kann man ausnahmsweise die Differenz zum bisherigen Ansatz (=Gutschrift bzw. Nachbelastung des Netzbetreibers der vorgelagerten Netzebene) entweder
1. von den vermNE lt. Prüfung abziehen (NB erhält nachträglich mehr Geld (Gutschrift)) bzw addieren (NB muss nachträglich Geld zurückzahlen (Nachbelastung)). Dann wirkt die Ausnahmeregelung bei einer Gutschrift zu Lasten des ÜNB bzw. der Einspeiser (und über die niedrigere EO zu Gunsten aller anderen Netzkunden), bei einer Nachbelastung zu Gunsten des ÜNB bzw. der Einspeiser (und über die höhere EO zu Lasten aller anderen Netzkunden) oder
2. im Folgejahr berücksichtigen. In diesem Fall wird die Gutschrift/Nachbelastung den Einspeiserrn im Folgejahr zugeordnet. Die Einspeiser im Folgejahr werden nicht identisch sein mit den Einspeisern im Betrachtungsjahr. Außerdem wird im Folgejahr ein anderer Zeitpunkt für die Rückspeisevergütung maßgeblich sein. Deshalb kommt es auch bei dieser Vorgehensweise zu Verzerrungen.</t>
        </r>
      </text>
    </comment>
    <comment ref="W13" authorId="0" shapeId="0" xr:uid="{00000000-0006-0000-0800-000004000000}">
      <text>
        <r>
          <rPr>
            <b/>
            <sz val="11"/>
            <color indexed="81"/>
            <rFont val="Segoe UI"/>
            <family val="2"/>
          </rPr>
          <t>GW:</t>
        </r>
        <r>
          <rPr>
            <sz val="11"/>
            <color indexed="81"/>
            <rFont val="Segoe UI"/>
            <family val="2"/>
          </rPr>
          <t xml:space="preserve">
Erhält der NB eine Rückspeisevergütung von zwei oder mehr fremden Netzen, kann dies im Tool im Moment nur über den Schlüssel 1 abgebildet werden. Bitte stellen Sie uns diesen Fall vor. Wir überlegen dann, ob wir dieses Tool anpassen können.</t>
        </r>
      </text>
    </comment>
    <comment ref="A14" authorId="0" shapeId="0" xr:uid="{00000000-0006-0000-0800-000005000000}">
      <text>
        <r>
          <rPr>
            <b/>
            <sz val="11"/>
            <color indexed="81"/>
            <rFont val="Tahoma"/>
            <family val="2"/>
          </rPr>
          <t>GW:</t>
        </r>
        <r>
          <rPr>
            <sz val="11"/>
            <color indexed="81"/>
            <rFont val="Tahoma"/>
            <family val="2"/>
          </rPr>
          <t xml:space="preserve">
für die Ermittlung der zu vergütenden Einspeisearbeit</t>
        </r>
      </text>
    </comment>
    <comment ref="C14" authorId="0" shapeId="0" xr:uid="{00000000-0006-0000-0800-000006000000}">
      <text>
        <r>
          <rPr>
            <b/>
            <sz val="11"/>
            <color indexed="81"/>
            <rFont val="Tahoma"/>
            <family val="2"/>
          </rPr>
          <t>GW:</t>
        </r>
        <r>
          <rPr>
            <sz val="11"/>
            <color indexed="81"/>
            <rFont val="Tahoma"/>
            <family val="2"/>
          </rPr>
          <t xml:space="preserve">
0 ≤ </t>
        </r>
        <r>
          <rPr>
            <i/>
            <sz val="11"/>
            <color indexed="81"/>
            <rFont val="Tahoma"/>
            <family val="2"/>
          </rPr>
          <t>r</t>
        </r>
        <r>
          <rPr>
            <sz val="11"/>
            <color indexed="81"/>
            <rFont val="Tahoma"/>
            <family val="2"/>
          </rPr>
          <t xml:space="preserve"> ≤ 1
r = 0: keine Vermeidung in dieser Ebene des Netzbetreibers, komplete Ausspeisung
r = 1: Vermeidung vollständig in dieser Ebene des Netzbetreibers, keine Ausspeisungen</t>
        </r>
      </text>
    </comment>
    <comment ref="P15" authorId="0" shapeId="0" xr:uid="{00000000-0006-0000-0800-000007000000}">
      <text>
        <r>
          <rPr>
            <b/>
            <sz val="11"/>
            <color indexed="81"/>
            <rFont val="Tahoma"/>
            <family val="2"/>
          </rPr>
          <t>GW:</t>
        </r>
        <r>
          <rPr>
            <sz val="11"/>
            <color indexed="81"/>
            <rFont val="Tahoma"/>
            <family val="2"/>
          </rPr>
          <t xml:space="preserve">
Der VDN-Leitfaden betrachtet die Vergütung/Verrrechnung für Arbeit und Leistung in Summe, so dass nach dem VDN-Leitfaden auch nicht leistungsgemessene Einspeiser einen Anteil der erhaltenen Rückspeisevergütung für Leistung erhalten. Dieses Verfahren halten wir deshalb nicht für sachgerecht und betrachten in diesem Tool die Vergütung/Verrechnung für 
Arbeit und Leistung getrennt.
</t>
        </r>
      </text>
    </comment>
    <comment ref="A16" authorId="0" shapeId="0" xr:uid="{00000000-0006-0000-0800-000008000000}">
      <text>
        <r>
          <rPr>
            <b/>
            <sz val="11"/>
            <color indexed="81"/>
            <rFont val="Tahoma"/>
            <family val="2"/>
          </rPr>
          <t>GW:</t>
        </r>
        <r>
          <rPr>
            <sz val="11"/>
            <color indexed="81"/>
            <rFont val="Tahoma"/>
            <family val="2"/>
          </rPr>
          <t xml:space="preserve">
§ 18 </t>
        </r>
        <r>
          <rPr>
            <u/>
            <sz val="11"/>
            <color indexed="81"/>
            <rFont val="Tahoma"/>
            <family val="2"/>
          </rPr>
          <t>Abs. 1</t>
        </r>
        <r>
          <rPr>
            <sz val="11"/>
            <color indexed="81"/>
            <rFont val="Tahoma"/>
            <family val="2"/>
          </rPr>
          <t xml:space="preserve"> Satz 3 StromNEV: „Dieses Entgelt muss den gegenüber den vorgelagerten Netz- oder Umspannebenen durch die jeweiligen Einspeisungen vermiedenen Netzentgelten entsprechen.“
§ 18 </t>
        </r>
        <r>
          <rPr>
            <u/>
            <sz val="11"/>
            <color indexed="81"/>
            <rFont val="Tahoma"/>
            <family val="2"/>
          </rPr>
          <t>Abs. 2</t>
        </r>
        <r>
          <rPr>
            <sz val="11"/>
            <color indexed="81"/>
            <rFont val="Tahoma"/>
            <family val="2"/>
          </rPr>
          <t xml:space="preserve"> Satz 2 StromNEV: „Maßgeblich sind die tatsächliche Vermeidungsarbeit in Kilowattstunden, die tatsächliche Vermeidungsleistung in Kilowatt und die Netzentgelte der vorgelagerten Netz- oder Umspannebene.“
Beide Vorschriften führen zwar grundsätzlich zum gleichen Ergebnis, in Einzelfällen treten jedoch Abweichungen auf. 
Zunächst kann man sich vergegenwärtigen, dass im Fall von mindestens zwei ungepoolten Übergabestellen der gewählte Ansatz (Summe der Jahreshöchstlasten lt. Eingangsrechnungen) zum richtigen eingesparten Entgelt führt (vgl. § 18 Abs. 1 Satz 2 StromNEV): Der Netzbetreiber bezahlt ein Leistungsentgelt für die auf den Rechnungen ausgewiesen Leistungswerte. Die maximale Bezuglast (</t>
        </r>
        <r>
          <rPr>
            <i/>
            <sz val="11"/>
            <color indexed="81"/>
            <rFont val="Tahoma"/>
            <family val="2"/>
          </rPr>
          <t>P</t>
        </r>
        <r>
          <rPr>
            <i/>
            <vertAlign val="subscript"/>
            <sz val="11"/>
            <color indexed="81"/>
            <rFont val="Tahoma"/>
            <family val="2"/>
          </rPr>
          <t>B,max</t>
        </r>
        <r>
          <rPr>
            <sz val="11"/>
            <color indexed="81"/>
            <rFont val="Tahoma"/>
            <family val="2"/>
          </rPr>
          <t xml:space="preserve">), für die der Netzbetreiber bezahlt hat, ergibt sich damit als Summe der auf den Rechnungen ausgewiesenen Leistungswerte. Für die in der Regel positive Differenz </t>
        </r>
        <r>
          <rPr>
            <i/>
            <sz val="11"/>
            <color indexed="81"/>
            <rFont val="Tahoma"/>
            <family val="2"/>
          </rPr>
          <t>P</t>
        </r>
        <r>
          <rPr>
            <i/>
            <vertAlign val="subscript"/>
            <sz val="11"/>
            <color indexed="81"/>
            <rFont val="Tahoma"/>
            <family val="2"/>
          </rPr>
          <t>E,max</t>
        </r>
        <r>
          <rPr>
            <sz val="11"/>
            <color indexed="81"/>
            <rFont val="Tahoma"/>
            <family val="2"/>
          </rPr>
          <t xml:space="preserve"> – </t>
        </r>
        <r>
          <rPr>
            <i/>
            <sz val="11"/>
            <color indexed="81"/>
            <rFont val="Tahoma"/>
            <family val="2"/>
          </rPr>
          <t>P</t>
        </r>
        <r>
          <rPr>
            <i/>
            <vertAlign val="subscript"/>
            <sz val="11"/>
            <color indexed="81"/>
            <rFont val="Tahoma"/>
            <family val="2"/>
          </rPr>
          <t>B,max</t>
        </r>
        <r>
          <rPr>
            <sz val="11"/>
            <color indexed="81"/>
            <rFont val="Tahoma"/>
            <family val="2"/>
          </rPr>
          <t xml:space="preserve"> spart sich der Netzbetreiber ein Leistungsentgelt des vorgelagerten Netzbetreibers. Deshalb ist </t>
        </r>
        <r>
          <rPr>
            <i/>
            <sz val="11"/>
            <color indexed="81"/>
            <rFont val="Tahoma"/>
            <family val="2"/>
          </rPr>
          <t>P</t>
        </r>
        <r>
          <rPr>
            <i/>
            <vertAlign val="subscript"/>
            <sz val="11"/>
            <color indexed="81"/>
            <rFont val="Tahoma"/>
            <family val="2"/>
          </rPr>
          <t>E,max</t>
        </r>
        <r>
          <rPr>
            <i/>
            <sz val="11"/>
            <color indexed="81"/>
            <rFont val="Tahoma"/>
            <family val="2"/>
          </rPr>
          <t xml:space="preserve"> – P</t>
        </r>
        <r>
          <rPr>
            <i/>
            <vertAlign val="subscript"/>
            <sz val="11"/>
            <color indexed="81"/>
            <rFont val="Tahoma"/>
            <family val="2"/>
          </rPr>
          <t>B,max</t>
        </r>
        <r>
          <rPr>
            <sz val="11"/>
            <color indexed="81"/>
            <rFont val="Tahoma"/>
            <family val="2"/>
          </rPr>
          <t xml:space="preserve"> die tatsächliche Vermeidungsleistung. In Extremfällen ist </t>
        </r>
        <r>
          <rPr>
            <i/>
            <sz val="11"/>
            <color indexed="81"/>
            <rFont val="Tahoma"/>
            <family val="2"/>
          </rPr>
          <t>P</t>
        </r>
        <r>
          <rPr>
            <i/>
            <vertAlign val="subscript"/>
            <sz val="11"/>
            <color indexed="81"/>
            <rFont val="Tahoma"/>
            <family val="2"/>
          </rPr>
          <t>B,max</t>
        </r>
        <r>
          <rPr>
            <sz val="11"/>
            <color indexed="81"/>
            <rFont val="Tahoma"/>
            <family val="2"/>
          </rPr>
          <t xml:space="preserve"> größer als </t>
        </r>
        <r>
          <rPr>
            <i/>
            <sz val="11"/>
            <color indexed="81"/>
            <rFont val="Tahoma"/>
            <family val="2"/>
          </rPr>
          <t>P</t>
        </r>
        <r>
          <rPr>
            <i/>
            <vertAlign val="subscript"/>
            <sz val="11"/>
            <color indexed="81"/>
            <rFont val="Tahoma"/>
            <family val="2"/>
          </rPr>
          <t>E,max</t>
        </r>
        <r>
          <rPr>
            <sz val="11"/>
            <color indexed="81"/>
            <rFont val="Tahoma"/>
            <family val="2"/>
          </rPr>
          <t xml:space="preserve">, so dass trotz dezentraler Einspeisung keine Leistung vermieden wird.
Der gewählte Ansatz führt nur dann zum richtigen eingesparten Entgelt, falls der NB ein zusammenhängendes Netzgebiet hat. Deshalb ist im Fall von mehreren nicht zusammenhängenden Netzen, dieses Tool für jedes Netz zu befüllen. Auf diese Weise können auch unterschiedliche vorgelagerte Netzentgelte in den verschiedenen Netzgebieten berücksichtigt werden.
Auch nach § 18 </t>
        </r>
        <r>
          <rPr>
            <u/>
            <sz val="11"/>
            <color indexed="81"/>
            <rFont val="Tahoma"/>
            <family val="2"/>
          </rPr>
          <t>Abs. 2</t>
        </r>
        <r>
          <rPr>
            <sz val="11"/>
            <color indexed="81"/>
            <rFont val="Tahoma"/>
            <family val="2"/>
          </rPr>
          <t xml:space="preserve"> Satz 2 StromNEV, wonach tatsächliche physikalische Größen maßgeblich sind, ergibt sich kein anderes Ergebnis: Die auf den Rechnungen ausgewiesenen Leistungen wurden nämlich tatsächlich bezogen, nicht aber der höchste Leistungswert des Summenlastgangs aller Bezüge.
Im Falle von mehreren Übergabestellen auf verschiedenen Ebenen gibt es in den Rechnungen kein Pooling. Auch bei der Ermittlung der vermiedenen Netzentgelte ist in diesem Fall kein Pooling anzusetzen, da
- es bei den vermiedenen Netzentgelten keinen neuen Pooling-Begriff gibt und
- wie oben ausgeführt nur eine Leistung in Höhe  </t>
        </r>
        <r>
          <rPr>
            <i/>
            <sz val="11"/>
            <color indexed="81"/>
            <rFont val="Tahoma"/>
            <family val="2"/>
          </rPr>
          <t>P</t>
        </r>
        <r>
          <rPr>
            <i/>
            <vertAlign val="subscript"/>
            <sz val="11"/>
            <color indexed="81"/>
            <rFont val="Tahoma"/>
            <family val="2"/>
          </rPr>
          <t>E,max</t>
        </r>
        <r>
          <rPr>
            <i/>
            <sz val="11"/>
            <color indexed="81"/>
            <rFont val="Tahoma"/>
            <family val="2"/>
          </rPr>
          <t xml:space="preserve"> – P</t>
        </r>
        <r>
          <rPr>
            <i/>
            <vertAlign val="subscript"/>
            <sz val="11"/>
            <color indexed="81"/>
            <rFont val="Tahoma"/>
            <family val="2"/>
          </rPr>
          <t>B,max</t>
        </r>
        <r>
          <rPr>
            <sz val="11"/>
            <color indexed="81"/>
            <rFont val="Tahoma"/>
            <family val="2"/>
          </rPr>
          <t xml:space="preserve"> vermieden wird und auch nur diese Leistung zu Kosten beim Netzbetreiber führen kann.
</t>
        </r>
        <r>
          <rPr>
            <u/>
            <sz val="11"/>
            <color indexed="81"/>
            <rFont val="Tahoma"/>
            <family val="2"/>
          </rPr>
          <t>Pooling</t>
        </r>
        <r>
          <rPr>
            <sz val="11"/>
            <color indexed="81"/>
            <rFont val="Tahoma"/>
            <family val="2"/>
          </rPr>
          <t xml:space="preserve"> ist der Oberbegriff für die
1. zeitgleiche und vorzeichengerechte Addition der Lastgangzeitreichen gemäß § 17 Abs. 2a Satz 4 Nr. 1 (Synonyme: Saldierung, Überlagerung, Vektoraddition)
2. zeitgleiche Addition der richtungsgleichen Lastgangzeitreihen gemäß § 17 Abs. 2a Satz 4 Nr. 2 (Synonym: Poolung)
</t>
        </r>
      </text>
    </comment>
    <comment ref="P16" authorId="0" shapeId="0" xr:uid="{00000000-0006-0000-0800-000009000000}">
      <text>
        <r>
          <rPr>
            <b/>
            <sz val="11"/>
            <color indexed="81"/>
            <rFont val="Tahoma"/>
            <family val="2"/>
          </rPr>
          <t>GW:</t>
        </r>
        <r>
          <rPr>
            <sz val="11"/>
            <color indexed="81"/>
            <rFont val="Tahoma"/>
            <family val="2"/>
          </rPr>
          <t xml:space="preserve">
Die Zahlen werden nur zur Verdeutlichung ausgewiesen und haben keinen Nachfolger.</t>
        </r>
      </text>
    </comment>
    <comment ref="P17" authorId="0" shapeId="0" xr:uid="{00000000-0006-0000-0800-00000A000000}">
      <text>
        <r>
          <rPr>
            <b/>
            <sz val="11"/>
            <color indexed="81"/>
            <rFont val="Tahoma"/>
            <family val="2"/>
          </rPr>
          <t>GW:</t>
        </r>
        <r>
          <rPr>
            <sz val="11"/>
            <color indexed="81"/>
            <rFont val="Tahoma"/>
            <family val="2"/>
          </rPr>
          <t xml:space="preserve">
Die Zahlen werden nur zur Verdeutlichung ausgewiesen und haben keinen Nachfolger.
Die erhaltene RSV für Arbeit sollte vollständig an die Einspeiser weitergeben werden. Trifft dies nicht zu erscheint die Zelle rot.
Die erhaltene RSV für Leistung sollte nach dem Anteil der leistungsgemessenen Einspeisern an allen Einspeisern auf Basis des verwendeten Schlüssels an die leistungsgemessenen Einspeiser weitergegeben werden. Trifft dies nicht zu erscheint die Zelle rot.
</t>
        </r>
      </text>
    </comment>
    <comment ref="P19" authorId="0" shapeId="0" xr:uid="{00000000-0006-0000-0800-00000B000000}">
      <text>
        <r>
          <rPr>
            <b/>
            <sz val="11"/>
            <color indexed="81"/>
            <rFont val="Tahoma"/>
            <family val="2"/>
          </rPr>
          <t>GW:</t>
        </r>
        <r>
          <rPr>
            <sz val="11"/>
            <color indexed="81"/>
            <rFont val="Tahoma"/>
            <family val="2"/>
          </rPr>
          <t xml:space="preserve">
Dieser Kasten wird nur benötigt, falls die erhaltene RSV für Leistung nach dem Schlüssel 2 an die Einspeiser weitergegeben wird. Nur in diesem Fall muss der Kasten auch befüllt werden.</t>
        </r>
      </text>
    </comment>
    <comment ref="C20" authorId="0" shapeId="0" xr:uid="{00000000-0006-0000-0800-00000C000000}">
      <text>
        <r>
          <rPr>
            <b/>
            <sz val="11"/>
            <color indexed="81"/>
            <rFont val="Tahoma"/>
            <family val="2"/>
          </rPr>
          <t>GW:</t>
        </r>
        <r>
          <rPr>
            <sz val="11"/>
            <color indexed="81"/>
            <rFont val="Tahoma"/>
            <family val="2"/>
          </rPr>
          <t xml:space="preserve">
Diese Zelle erschein rot, wenn die Rechnung unten zu einem anderen Wert führt.</t>
        </r>
      </text>
    </comment>
    <comment ref="L22" authorId="0" shapeId="0" xr:uid="{00000000-0006-0000-0800-00000D000000}">
      <text>
        <r>
          <rPr>
            <b/>
            <sz val="11"/>
            <color indexed="81"/>
            <rFont val="Segoe UI"/>
            <family val="2"/>
          </rPr>
          <t>GW:</t>
        </r>
        <r>
          <rPr>
            <sz val="11"/>
            <color indexed="81"/>
            <rFont val="Segoe UI"/>
            <family val="2"/>
          </rPr>
          <t xml:space="preserve">
Ein Einspeiser behält auch im Fall eines Netzübergangs sein Referenzpreisblatt. 
Neue Einspeiser nach dem Netzübergang erhalten das Referenzpreisblatt des aktuellen Netzbetreibers (vgl. § 120 Abs. 4 EnWG)</t>
        </r>
      </text>
    </comment>
    <comment ref="M22" authorId="0" shapeId="0" xr:uid="{00000000-0006-0000-0800-00000E000000}">
      <text>
        <r>
          <rPr>
            <b/>
            <sz val="11"/>
            <color indexed="81"/>
            <rFont val="Tahoma"/>
            <family val="2"/>
          </rPr>
          <t>GW:</t>
        </r>
        <r>
          <rPr>
            <sz val="11"/>
            <color indexed="81"/>
            <rFont val="Tahoma"/>
            <family val="2"/>
          </rPr>
          <t xml:space="preserve">
</t>
        </r>
        <r>
          <rPr>
            <u/>
            <sz val="11"/>
            <color indexed="81"/>
            <rFont val="Tahoma"/>
            <family val="2"/>
          </rPr>
          <t>Bezug von der vorgelagerten Netzebene mit mehreren Preisen</t>
        </r>
        <r>
          <rPr>
            <sz val="11"/>
            <color indexed="81"/>
            <rFont val="Tahoma"/>
            <family val="2"/>
          </rPr>
          <t xml:space="preserve">
Gibt es für die vorgelagerte Netzebene mehrere Preise</t>
        </r>
        <r>
          <rPr>
            <u/>
            <sz val="11"/>
            <color indexed="81"/>
            <rFont val="Tahoma"/>
            <family val="2"/>
          </rPr>
          <t>,</t>
        </r>
        <r>
          <rPr>
            <sz val="11"/>
            <color indexed="81"/>
            <rFont val="Tahoma"/>
            <family val="2"/>
          </rPr>
          <t xml:space="preserve"> muss ein gewichteter Durchschnittspreis ermittelt werden. Dies gilt sowohl für das Preisblatt des betrachteten Jahres, als auch für das Referenzpreisblatt. Wurden von der vorgelagerten Netzebene die Mengen m</t>
        </r>
        <r>
          <rPr>
            <vertAlign val="subscript"/>
            <sz val="11"/>
            <color indexed="81"/>
            <rFont val="Tahoma"/>
            <family val="2"/>
          </rPr>
          <t>1</t>
        </r>
        <r>
          <rPr>
            <sz val="11"/>
            <color indexed="81"/>
            <rFont val="Tahoma"/>
            <family val="2"/>
          </rPr>
          <t>, m</t>
        </r>
        <r>
          <rPr>
            <vertAlign val="subscript"/>
            <sz val="11"/>
            <color indexed="81"/>
            <rFont val="Tahoma"/>
            <family val="2"/>
          </rPr>
          <t>2</t>
        </r>
        <r>
          <rPr>
            <sz val="11"/>
            <color indexed="81"/>
            <rFont val="Tahoma"/>
            <family val="2"/>
          </rPr>
          <t>, ... mit den Preisen p</t>
        </r>
        <r>
          <rPr>
            <vertAlign val="subscript"/>
            <sz val="11"/>
            <color indexed="81"/>
            <rFont val="Tahoma"/>
            <family val="2"/>
          </rPr>
          <t>1</t>
        </r>
        <r>
          <rPr>
            <sz val="11"/>
            <color indexed="81"/>
            <rFont val="Tahoma"/>
            <family val="2"/>
          </rPr>
          <t>, p</t>
        </r>
        <r>
          <rPr>
            <vertAlign val="subscript"/>
            <sz val="11"/>
            <color indexed="81"/>
            <rFont val="Tahoma"/>
            <family val="2"/>
          </rPr>
          <t>2</t>
        </r>
        <r>
          <rPr>
            <sz val="11"/>
            <color indexed="81"/>
            <rFont val="Tahoma"/>
            <family val="2"/>
          </rPr>
          <t>, ... bezogen ergibt sich der gewichtete Durchschnittspreis zu
(m</t>
        </r>
        <r>
          <rPr>
            <vertAlign val="subscript"/>
            <sz val="11"/>
            <color indexed="81"/>
            <rFont val="Tahoma"/>
            <family val="2"/>
          </rPr>
          <t>1</t>
        </r>
        <r>
          <rPr>
            <sz val="11"/>
            <color indexed="81"/>
            <rFont val="Tahoma"/>
            <family val="2"/>
          </rPr>
          <t>*p</t>
        </r>
        <r>
          <rPr>
            <vertAlign val="subscript"/>
            <sz val="11"/>
            <color indexed="81"/>
            <rFont val="Tahoma"/>
            <family val="2"/>
          </rPr>
          <t>1</t>
        </r>
        <r>
          <rPr>
            <sz val="11"/>
            <color indexed="81"/>
            <rFont val="Tahoma"/>
            <family val="2"/>
          </rPr>
          <t>+m</t>
        </r>
        <r>
          <rPr>
            <vertAlign val="subscript"/>
            <sz val="11"/>
            <color indexed="81"/>
            <rFont val="Tahoma"/>
            <family val="2"/>
          </rPr>
          <t>2</t>
        </r>
        <r>
          <rPr>
            <sz val="11"/>
            <color indexed="81"/>
            <rFont val="Tahoma"/>
            <family val="2"/>
          </rPr>
          <t>*p</t>
        </r>
        <r>
          <rPr>
            <vertAlign val="subscript"/>
            <sz val="11"/>
            <color indexed="81"/>
            <rFont val="Tahoma"/>
            <family val="2"/>
          </rPr>
          <t>2</t>
        </r>
        <r>
          <rPr>
            <sz val="11"/>
            <color indexed="81"/>
            <rFont val="Tahoma"/>
            <family val="2"/>
          </rPr>
          <t>+⋯) / (m</t>
        </r>
        <r>
          <rPr>
            <vertAlign val="subscript"/>
            <sz val="11"/>
            <color indexed="81"/>
            <rFont val="Tahoma"/>
            <family val="2"/>
          </rPr>
          <t>1</t>
        </r>
        <r>
          <rPr>
            <sz val="11"/>
            <color indexed="81"/>
            <rFont val="Tahoma"/>
            <family val="2"/>
          </rPr>
          <t>+m</t>
        </r>
        <r>
          <rPr>
            <vertAlign val="subscript"/>
            <sz val="11"/>
            <color indexed="81"/>
            <rFont val="Tahoma"/>
            <family val="2"/>
          </rPr>
          <t>2</t>
        </r>
        <r>
          <rPr>
            <sz val="11"/>
            <color indexed="81"/>
            <rFont val="Tahoma"/>
            <family val="2"/>
          </rPr>
          <t>+⋯)=m</t>
        </r>
        <r>
          <rPr>
            <vertAlign val="subscript"/>
            <sz val="11"/>
            <color indexed="81"/>
            <rFont val="Tahoma"/>
            <family val="2"/>
          </rPr>
          <t>1</t>
        </r>
        <r>
          <rPr>
            <sz val="11"/>
            <color indexed="81"/>
            <rFont val="Tahoma"/>
            <family val="2"/>
          </rPr>
          <t>/(m</t>
        </r>
        <r>
          <rPr>
            <vertAlign val="subscript"/>
            <sz val="11"/>
            <color indexed="81"/>
            <rFont val="Tahoma"/>
            <family val="2"/>
          </rPr>
          <t>1</t>
        </r>
        <r>
          <rPr>
            <sz val="11"/>
            <color indexed="81"/>
            <rFont val="Tahoma"/>
            <family val="2"/>
          </rPr>
          <t>+m</t>
        </r>
        <r>
          <rPr>
            <vertAlign val="subscript"/>
            <sz val="11"/>
            <color indexed="81"/>
            <rFont val="Tahoma"/>
            <family val="2"/>
          </rPr>
          <t>2</t>
        </r>
        <r>
          <rPr>
            <sz val="11"/>
            <color indexed="81"/>
            <rFont val="Tahoma"/>
            <family val="2"/>
          </rPr>
          <t>+⋯) * p</t>
        </r>
        <r>
          <rPr>
            <vertAlign val="subscript"/>
            <sz val="11"/>
            <color indexed="81"/>
            <rFont val="Tahoma"/>
            <family val="2"/>
          </rPr>
          <t xml:space="preserve">1 </t>
        </r>
        <r>
          <rPr>
            <sz val="11"/>
            <color indexed="81"/>
            <rFont val="Tahoma"/>
            <family val="2"/>
          </rPr>
          <t>+ m</t>
        </r>
        <r>
          <rPr>
            <vertAlign val="subscript"/>
            <sz val="11"/>
            <color indexed="81"/>
            <rFont val="Tahoma"/>
            <family val="2"/>
          </rPr>
          <t>2</t>
        </r>
        <r>
          <rPr>
            <sz val="11"/>
            <color indexed="81"/>
            <rFont val="Tahoma"/>
            <family val="2"/>
          </rPr>
          <t>/(m</t>
        </r>
        <r>
          <rPr>
            <vertAlign val="subscript"/>
            <sz val="11"/>
            <color indexed="81"/>
            <rFont val="Tahoma"/>
            <family val="2"/>
          </rPr>
          <t>1</t>
        </r>
        <r>
          <rPr>
            <sz val="11"/>
            <color indexed="81"/>
            <rFont val="Tahoma"/>
            <family val="2"/>
          </rPr>
          <t>+m</t>
        </r>
        <r>
          <rPr>
            <vertAlign val="subscript"/>
            <sz val="11"/>
            <color indexed="81"/>
            <rFont val="Tahoma"/>
            <family val="2"/>
          </rPr>
          <t>2</t>
        </r>
        <r>
          <rPr>
            <sz val="11"/>
            <color indexed="81"/>
            <rFont val="Tahoma"/>
            <family val="2"/>
          </rPr>
          <t>+⋯) * p</t>
        </r>
        <r>
          <rPr>
            <vertAlign val="subscript"/>
            <sz val="11"/>
            <color indexed="81"/>
            <rFont val="Tahoma"/>
            <family val="2"/>
          </rPr>
          <t>2</t>
        </r>
        <r>
          <rPr>
            <sz val="11"/>
            <color indexed="81"/>
            <rFont val="Tahoma"/>
            <family val="2"/>
          </rPr>
          <t xml:space="preserve"> +⋯
Im Fall mehrerer Preise für die vorgelagere Netzebene ändert sich das Referenzpreisblatt von Jahr zu Jahr, da sich die Gewichtung der zugrunde zu legenden Referenzpreisblätter von Jahr zu Jahr ändert.
</t>
        </r>
        <r>
          <rPr>
            <u/>
            <sz val="11"/>
            <color indexed="81"/>
            <rFont val="Tahoma"/>
            <family val="2"/>
          </rPr>
          <t>Pancaking (Bezug von dergleichen Netzebene)</t>
        </r>
        <r>
          <rPr>
            <sz val="11"/>
            <color indexed="81"/>
            <rFont val="Tahoma"/>
            <family val="2"/>
          </rPr>
          <t xml:space="preserve">
Es </t>
        </r>
        <r>
          <rPr>
            <i/>
            <sz val="11"/>
            <color indexed="81"/>
            <rFont val="Tahoma"/>
            <family val="2"/>
          </rPr>
          <t>können</t>
        </r>
        <r>
          <rPr>
            <sz val="11"/>
            <color indexed="81"/>
            <rFont val="Tahoma"/>
            <family val="2"/>
          </rPr>
          <t xml:space="preserve"> auch dann die Referenzpreise des vorgelagerten Netzes herangezogen werden, wenn die vorgelagerte Ebene und die Einspeiseebene identisch sind  (Hinweise der BNetzA für Verteilernetzbetreiber zur Anpassung der Erlösobergrenze für 2019, dort Punkt 11.2.4). 
Aus Gründen der Gleichbehandlung </t>
        </r>
        <r>
          <rPr>
            <i/>
            <sz val="11"/>
            <color indexed="81"/>
            <rFont val="Tahoma"/>
            <family val="2"/>
          </rPr>
          <t>sind</t>
        </r>
        <r>
          <rPr>
            <sz val="11"/>
            <color indexed="81"/>
            <rFont val="Tahoma"/>
            <family val="2"/>
          </rPr>
          <t xml:space="preserve"> m. E. 
- immer die Netzentgelte des vorgelagerten Netzes heranzuziehen, auch wenn die vorgelagerte Ebene und die Einspeiseebene identisch sind.
- die tatsächlich gezahlten Netzentgelte heranzuziehen, auch wenn den Einspeisern ein eventuell vorliegender Rabatt auf die regulären vorgelagerten Netzentgelten infolge einer Pancaking-Vereinbarung nicht bekannt ist.
Ein Rabatt auf die regulären vorgelagerten Netzentgelte ist auf das Referenzpreisblatt zu übertragen.
</t>
        </r>
        <r>
          <rPr>
            <u/>
            <sz val="11"/>
            <color indexed="81"/>
            <rFont val="Tahoma"/>
            <family val="2"/>
          </rPr>
          <t>Bezug von der vorgelagerten und von dergleichen Netzebene</t>
        </r>
        <r>
          <rPr>
            <sz val="11"/>
            <color indexed="81"/>
            <rFont val="Tahoma"/>
            <family val="2"/>
          </rPr>
          <t xml:space="preserve">
Auch beim Bezug von der vorgelagerten und von dergleichen Netzebene via Pancaking ist wie beim Bezug von der vorgelagerten Netzebene mit mehreren Preisen ein gewichteter Durchschnittspreis zu bilden. In den Durchschnittspreis gehen die Preise von verschiedenen Netzebenen ein.
Auch wenn tatsächlich mit dem </t>
        </r>
        <r>
          <rPr>
            <u/>
            <sz val="11"/>
            <color indexed="81"/>
            <rFont val="Tahoma"/>
            <family val="2"/>
          </rPr>
          <t>Preis kleiner 2.500 h</t>
        </r>
        <r>
          <rPr>
            <sz val="11"/>
            <color indexed="81"/>
            <rFont val="Tahoma"/>
            <family val="2"/>
          </rPr>
          <t xml:space="preserve"> bezogen wird, ist der Preis über 2.500 h heranzuziehen (Hinweise der BNetzA für Verteilernetzbetreiber zur Anpassung der Erlösobergrenze für 2019, dort Punkt 11.2.1).
</t>
        </r>
      </text>
    </comment>
    <comment ref="N22" authorId="0" shapeId="0" xr:uid="{00000000-0006-0000-0800-00000F000000}">
      <text>
        <r>
          <rPr>
            <b/>
            <sz val="11"/>
            <color indexed="81"/>
            <rFont val="Tahoma"/>
            <family val="2"/>
          </rPr>
          <t>GW:</t>
        </r>
        <r>
          <rPr>
            <sz val="11"/>
            <color indexed="81"/>
            <rFont val="Tahoma"/>
            <family val="2"/>
          </rPr>
          <t xml:space="preserve">
</t>
        </r>
        <r>
          <rPr>
            <u/>
            <sz val="11"/>
            <color indexed="81"/>
            <rFont val="Tahoma"/>
            <family val="2"/>
          </rPr>
          <t>Bezug von der vorgelagerten Netzebene mit mehreren Preisen</t>
        </r>
        <r>
          <rPr>
            <sz val="11"/>
            <color indexed="81"/>
            <rFont val="Tahoma"/>
            <family val="2"/>
          </rPr>
          <t xml:space="preserve">
Gibt es für die vorgelagerte Netzebene mehrere Preise</t>
        </r>
        <r>
          <rPr>
            <u/>
            <sz val="11"/>
            <color indexed="81"/>
            <rFont val="Tahoma"/>
            <family val="2"/>
          </rPr>
          <t>,</t>
        </r>
        <r>
          <rPr>
            <sz val="11"/>
            <color indexed="81"/>
            <rFont val="Tahoma"/>
            <family val="2"/>
          </rPr>
          <t xml:space="preserve"> muss ein gewichteter Durchschnittspreis ermittelt werden. Dies gilt sowohl für das Preisblatt des betrachteten Jahres, als auch für das Referenzpreisblatt. Wurden von der vorgelagerten Netzebene die Mengen m</t>
        </r>
        <r>
          <rPr>
            <vertAlign val="subscript"/>
            <sz val="11"/>
            <color indexed="81"/>
            <rFont val="Tahoma"/>
            <family val="2"/>
          </rPr>
          <t>1</t>
        </r>
        <r>
          <rPr>
            <sz val="11"/>
            <color indexed="81"/>
            <rFont val="Tahoma"/>
            <family val="2"/>
          </rPr>
          <t>, m</t>
        </r>
        <r>
          <rPr>
            <vertAlign val="subscript"/>
            <sz val="11"/>
            <color indexed="81"/>
            <rFont val="Tahoma"/>
            <family val="2"/>
          </rPr>
          <t>2</t>
        </r>
        <r>
          <rPr>
            <sz val="11"/>
            <color indexed="81"/>
            <rFont val="Tahoma"/>
            <family val="2"/>
          </rPr>
          <t>, ... mit den Preisen p</t>
        </r>
        <r>
          <rPr>
            <vertAlign val="subscript"/>
            <sz val="11"/>
            <color indexed="81"/>
            <rFont val="Tahoma"/>
            <family val="2"/>
          </rPr>
          <t>1</t>
        </r>
        <r>
          <rPr>
            <sz val="11"/>
            <color indexed="81"/>
            <rFont val="Tahoma"/>
            <family val="2"/>
          </rPr>
          <t>, p</t>
        </r>
        <r>
          <rPr>
            <vertAlign val="subscript"/>
            <sz val="11"/>
            <color indexed="81"/>
            <rFont val="Tahoma"/>
            <family val="2"/>
          </rPr>
          <t>2</t>
        </r>
        <r>
          <rPr>
            <sz val="11"/>
            <color indexed="81"/>
            <rFont val="Tahoma"/>
            <family val="2"/>
          </rPr>
          <t>, ... bezogen ergibt sich der gewichtete Durchschnittspreis zu
(m</t>
        </r>
        <r>
          <rPr>
            <vertAlign val="subscript"/>
            <sz val="11"/>
            <color indexed="81"/>
            <rFont val="Tahoma"/>
            <family val="2"/>
          </rPr>
          <t>1</t>
        </r>
        <r>
          <rPr>
            <sz val="11"/>
            <color indexed="81"/>
            <rFont val="Tahoma"/>
            <family val="2"/>
          </rPr>
          <t>*p</t>
        </r>
        <r>
          <rPr>
            <vertAlign val="subscript"/>
            <sz val="11"/>
            <color indexed="81"/>
            <rFont val="Tahoma"/>
            <family val="2"/>
          </rPr>
          <t>1</t>
        </r>
        <r>
          <rPr>
            <sz val="11"/>
            <color indexed="81"/>
            <rFont val="Tahoma"/>
            <family val="2"/>
          </rPr>
          <t>+m</t>
        </r>
        <r>
          <rPr>
            <vertAlign val="subscript"/>
            <sz val="11"/>
            <color indexed="81"/>
            <rFont val="Tahoma"/>
            <family val="2"/>
          </rPr>
          <t>2</t>
        </r>
        <r>
          <rPr>
            <sz val="11"/>
            <color indexed="81"/>
            <rFont val="Tahoma"/>
            <family val="2"/>
          </rPr>
          <t>*p</t>
        </r>
        <r>
          <rPr>
            <vertAlign val="subscript"/>
            <sz val="11"/>
            <color indexed="81"/>
            <rFont val="Tahoma"/>
            <family val="2"/>
          </rPr>
          <t>2</t>
        </r>
        <r>
          <rPr>
            <sz val="11"/>
            <color indexed="81"/>
            <rFont val="Tahoma"/>
            <family val="2"/>
          </rPr>
          <t>+⋯) / (m</t>
        </r>
        <r>
          <rPr>
            <vertAlign val="subscript"/>
            <sz val="11"/>
            <color indexed="81"/>
            <rFont val="Tahoma"/>
            <family val="2"/>
          </rPr>
          <t>1</t>
        </r>
        <r>
          <rPr>
            <sz val="11"/>
            <color indexed="81"/>
            <rFont val="Tahoma"/>
            <family val="2"/>
          </rPr>
          <t>+m</t>
        </r>
        <r>
          <rPr>
            <vertAlign val="subscript"/>
            <sz val="11"/>
            <color indexed="81"/>
            <rFont val="Tahoma"/>
            <family val="2"/>
          </rPr>
          <t>2</t>
        </r>
        <r>
          <rPr>
            <sz val="11"/>
            <color indexed="81"/>
            <rFont val="Tahoma"/>
            <family val="2"/>
          </rPr>
          <t>+⋯)=m</t>
        </r>
        <r>
          <rPr>
            <vertAlign val="subscript"/>
            <sz val="11"/>
            <color indexed="81"/>
            <rFont val="Tahoma"/>
            <family val="2"/>
          </rPr>
          <t>1</t>
        </r>
        <r>
          <rPr>
            <sz val="11"/>
            <color indexed="81"/>
            <rFont val="Tahoma"/>
            <family val="2"/>
          </rPr>
          <t>/(m</t>
        </r>
        <r>
          <rPr>
            <vertAlign val="subscript"/>
            <sz val="11"/>
            <color indexed="81"/>
            <rFont val="Tahoma"/>
            <family val="2"/>
          </rPr>
          <t>1</t>
        </r>
        <r>
          <rPr>
            <sz val="11"/>
            <color indexed="81"/>
            <rFont val="Tahoma"/>
            <family val="2"/>
          </rPr>
          <t>+m</t>
        </r>
        <r>
          <rPr>
            <vertAlign val="subscript"/>
            <sz val="11"/>
            <color indexed="81"/>
            <rFont val="Tahoma"/>
            <family val="2"/>
          </rPr>
          <t>2</t>
        </r>
        <r>
          <rPr>
            <sz val="11"/>
            <color indexed="81"/>
            <rFont val="Tahoma"/>
            <family val="2"/>
          </rPr>
          <t>+⋯) * p</t>
        </r>
        <r>
          <rPr>
            <vertAlign val="subscript"/>
            <sz val="11"/>
            <color indexed="81"/>
            <rFont val="Tahoma"/>
            <family val="2"/>
          </rPr>
          <t xml:space="preserve">1 </t>
        </r>
        <r>
          <rPr>
            <sz val="11"/>
            <color indexed="81"/>
            <rFont val="Tahoma"/>
            <family val="2"/>
          </rPr>
          <t>+ m</t>
        </r>
        <r>
          <rPr>
            <vertAlign val="subscript"/>
            <sz val="11"/>
            <color indexed="81"/>
            <rFont val="Tahoma"/>
            <family val="2"/>
          </rPr>
          <t>2</t>
        </r>
        <r>
          <rPr>
            <sz val="11"/>
            <color indexed="81"/>
            <rFont val="Tahoma"/>
            <family val="2"/>
          </rPr>
          <t>/(m</t>
        </r>
        <r>
          <rPr>
            <vertAlign val="subscript"/>
            <sz val="11"/>
            <color indexed="81"/>
            <rFont val="Tahoma"/>
            <family val="2"/>
          </rPr>
          <t>1</t>
        </r>
        <r>
          <rPr>
            <sz val="11"/>
            <color indexed="81"/>
            <rFont val="Tahoma"/>
            <family val="2"/>
          </rPr>
          <t>+m</t>
        </r>
        <r>
          <rPr>
            <vertAlign val="subscript"/>
            <sz val="11"/>
            <color indexed="81"/>
            <rFont val="Tahoma"/>
            <family val="2"/>
          </rPr>
          <t>2</t>
        </r>
        <r>
          <rPr>
            <sz val="11"/>
            <color indexed="81"/>
            <rFont val="Tahoma"/>
            <family val="2"/>
          </rPr>
          <t>+⋯) * p</t>
        </r>
        <r>
          <rPr>
            <vertAlign val="subscript"/>
            <sz val="11"/>
            <color indexed="81"/>
            <rFont val="Tahoma"/>
            <family val="2"/>
          </rPr>
          <t>2</t>
        </r>
        <r>
          <rPr>
            <sz val="11"/>
            <color indexed="81"/>
            <rFont val="Tahoma"/>
            <family val="2"/>
          </rPr>
          <t xml:space="preserve"> +⋯
Im Fall mehrerer Preise für die vorgelagere Netzebene ändert sich das Referenzpreisblatt von Jahr zu Jahr, da sich die Gewichtung der zugrunde zu legenden Referenzpreisblätter von Jahr zu Jahr ändert.
</t>
        </r>
        <r>
          <rPr>
            <u/>
            <sz val="11"/>
            <color indexed="81"/>
            <rFont val="Tahoma"/>
            <family val="2"/>
          </rPr>
          <t>Pancaking (Bezug von dergleichen Netzebene)</t>
        </r>
        <r>
          <rPr>
            <sz val="11"/>
            <color indexed="81"/>
            <rFont val="Tahoma"/>
            <family val="2"/>
          </rPr>
          <t xml:space="preserve">
Es </t>
        </r>
        <r>
          <rPr>
            <i/>
            <sz val="11"/>
            <color indexed="81"/>
            <rFont val="Tahoma"/>
            <family val="2"/>
          </rPr>
          <t>können</t>
        </r>
        <r>
          <rPr>
            <sz val="11"/>
            <color indexed="81"/>
            <rFont val="Tahoma"/>
            <family val="2"/>
          </rPr>
          <t xml:space="preserve"> auch dann die Referenzpreise des vorgelagerten Netzes herangezogen werden, wenn die vorgelagerte Ebene und die Einspeiseebene identisch sind  (Hinweise der BNetzA für Verteilernetzbetreiber zur Anpassung der Erlösobergrenze für 2019, dort Punkt 11.2.4). 
Aus Gründen der Gleichbehandlung </t>
        </r>
        <r>
          <rPr>
            <i/>
            <sz val="11"/>
            <color indexed="81"/>
            <rFont val="Tahoma"/>
            <family val="2"/>
          </rPr>
          <t>sind</t>
        </r>
        <r>
          <rPr>
            <sz val="11"/>
            <color indexed="81"/>
            <rFont val="Tahoma"/>
            <family val="2"/>
          </rPr>
          <t xml:space="preserve"> m. E. 
- immer die Netzentgelte des vorgelagerten Netzes heranzuziehen, auch wenn die vorgelagerte Ebene und die Einspeiseebene identisch sind.
- die tatsächlich gezahlten Netzentgelte heranzuziehen, auch wenn den Einspeisern ein eventuell vorliegender Rabatt auf die regulären vorgelagerten Netzentgelten infolge einer Pancaking-Vereinbarung nicht bekannt ist.
Ein Rabatt auf die regulären vorgelagerten Netzentgelte ist auf das Referenzpreisblatt zu übertragen.
</t>
        </r>
        <r>
          <rPr>
            <u/>
            <sz val="11"/>
            <color indexed="81"/>
            <rFont val="Tahoma"/>
            <family val="2"/>
          </rPr>
          <t>Bezug von der vorgelagerten und von dergleichen Netzebene</t>
        </r>
        <r>
          <rPr>
            <sz val="11"/>
            <color indexed="81"/>
            <rFont val="Tahoma"/>
            <family val="2"/>
          </rPr>
          <t xml:space="preserve">
Auch beim Bezug von der vorgelagerten und von dergleichen Netzebene via Pancaking ist wie beim Bezug von der vorgelagerten Netzebene mit mehreren Preisen ein gewichteter Durchschnittspreis zu bilden. In den Durchschnittspreis gehen die Preise von verschiedenen Netzebenen ein.
Auch wenn tatsächlich mit dem </t>
        </r>
        <r>
          <rPr>
            <u/>
            <sz val="11"/>
            <color indexed="81"/>
            <rFont val="Tahoma"/>
            <family val="2"/>
          </rPr>
          <t>Preis kleiner 2.500 h</t>
        </r>
        <r>
          <rPr>
            <sz val="11"/>
            <color indexed="81"/>
            <rFont val="Tahoma"/>
            <family val="2"/>
          </rPr>
          <t xml:space="preserve"> bezogen wird, ist der Preis über 2.500 h heranzuziehen (Hinweise der BNetzA für Verteilernetzbetreiber zur Anpassung der Erlösobergrenze für 2019, dort Punkt 11.2.1).
</t>
        </r>
      </text>
    </comment>
    <comment ref="C28" authorId="0" shapeId="0" xr:uid="{00000000-0006-0000-0800-000010000000}">
      <text>
        <r>
          <rPr>
            <b/>
            <sz val="11"/>
            <color indexed="81"/>
            <rFont val="Tahoma"/>
            <family val="2"/>
          </rPr>
          <t>GW:</t>
        </r>
        <r>
          <rPr>
            <sz val="11"/>
            <color indexed="81"/>
            <rFont val="Tahoma"/>
            <family val="2"/>
          </rPr>
          <t xml:space="preserve">
Das Verfahren im VDN-Leitfaden sieht einen (einheitlichen) Anteilsfaktor </t>
        </r>
        <r>
          <rPr>
            <i/>
            <sz val="11"/>
            <color indexed="81"/>
            <rFont val="Tahoma"/>
            <family val="2"/>
          </rPr>
          <t>a</t>
        </r>
        <r>
          <rPr>
            <sz val="11"/>
            <color indexed="81"/>
            <rFont val="Tahoma"/>
            <family val="2"/>
          </rPr>
          <t xml:space="preserve"> (= </t>
        </r>
        <r>
          <rPr>
            <i/>
            <sz val="11"/>
            <color indexed="81"/>
            <rFont val="Tahoma"/>
            <family val="2"/>
          </rPr>
          <t>a</t>
        </r>
        <r>
          <rPr>
            <i/>
            <vertAlign val="superscript"/>
            <sz val="11"/>
            <color indexed="81"/>
            <rFont val="Tahoma"/>
            <family val="2"/>
          </rPr>
          <t>L</t>
        </r>
        <r>
          <rPr>
            <sz val="11"/>
            <color indexed="81"/>
            <rFont val="Tahoma"/>
            <family val="2"/>
          </rPr>
          <t xml:space="preserve"> = </t>
        </r>
        <r>
          <rPr>
            <i/>
            <sz val="11"/>
            <color indexed="81"/>
            <rFont val="Tahoma"/>
            <family val="2"/>
          </rPr>
          <t>a</t>
        </r>
        <r>
          <rPr>
            <i/>
            <vertAlign val="superscript"/>
            <sz val="11"/>
            <color indexed="81"/>
            <rFont val="Tahoma"/>
            <family val="2"/>
          </rPr>
          <t>nL</t>
        </r>
        <r>
          <rPr>
            <sz val="11"/>
            <color indexed="81"/>
            <rFont val="Tahoma"/>
            <family val="2"/>
          </rPr>
          <t xml:space="preserve">) vor, der die verstetige Leistung der leistungsgemessenen Einspeiser mit verstetigter Bewertung und die verstetigte Leistung der nicht leistungsgemessenen Einspeisern so umrechnet, dass sich der für diese Einspeiser ergebende Leistungswert zum Zeitpunkt </t>
        </r>
        <r>
          <rPr>
            <i/>
            <sz val="11"/>
            <color indexed="81"/>
            <rFont val="Tahoma"/>
            <family val="2"/>
          </rPr>
          <t>t</t>
        </r>
        <r>
          <rPr>
            <i/>
            <vertAlign val="subscript"/>
            <sz val="11"/>
            <color indexed="81"/>
            <rFont val="Tahoma"/>
            <family val="2"/>
          </rPr>
          <t>E</t>
        </r>
        <r>
          <rPr>
            <i/>
            <sz val="11"/>
            <color indexed="81"/>
            <rFont val="Tahoma"/>
            <family val="2"/>
          </rPr>
          <t xml:space="preserve"> </t>
        </r>
        <r>
          <rPr>
            <sz val="11"/>
            <color indexed="81"/>
            <rFont val="Tahoma"/>
            <family val="2"/>
          </rPr>
          <t>ergibt.
Verursachungsgerechter ist es, die Gruppe der leistungsgemessenen Einspeiser mit verstetigter Bewertung und die Gruppe der nicht leistungsgemessenen Einspeiser getrennt zu betrachten und für beide Gruppen jeweils einen Anteilsfaktor zu bestimmen. Im Ergebnis kommt es dann nur auf den Anteilsfaktor für leistungsgemessene Einspeiser mit verstetigter Bewertung an. Die verstetigte Leistung der nicht leistungsgemessenen Einspeiser multipliziert mit dem Anteilsfaktor für nicht leistungsgemessene Einspeiser wird nämlich nach § 18 Abs. 3 Satz 3 StromNEV nicht vergütet. 
Bei diesem Verfahren entfallen auf die Gruppe der leistungsgemessenen Einspeiser immer dieselben vermNE, unabhängig davon, wie viele leistungsgemessene Einspeiser eine Verstetigung wählen. Gibt es nur einen leistungsgemessenen Einspeiser mit verstetigter Bewertung, sind die rechnerische Leistung zum Zeitpunkt</t>
        </r>
        <r>
          <rPr>
            <i/>
            <sz val="11"/>
            <color indexed="81"/>
            <rFont val="Tahoma"/>
            <family val="2"/>
          </rPr>
          <t xml:space="preserve"> t</t>
        </r>
        <r>
          <rPr>
            <i/>
            <vertAlign val="subscript"/>
            <sz val="11"/>
            <color indexed="81"/>
            <rFont val="Tahoma"/>
            <family val="2"/>
          </rPr>
          <t>E</t>
        </r>
        <r>
          <rPr>
            <sz val="11"/>
            <color indexed="81"/>
            <rFont val="Tahoma"/>
            <family val="2"/>
          </rPr>
          <t xml:space="preserve"> und die gemessene Leistung zum Zeitpunkt </t>
        </r>
        <r>
          <rPr>
            <i/>
            <sz val="11"/>
            <color indexed="81"/>
            <rFont val="Tahoma"/>
            <family val="2"/>
          </rPr>
          <t>t</t>
        </r>
        <r>
          <rPr>
            <i/>
            <vertAlign val="subscript"/>
            <sz val="11"/>
            <color indexed="81"/>
            <rFont val="Tahoma"/>
            <family val="2"/>
          </rPr>
          <t>E</t>
        </r>
        <r>
          <rPr>
            <sz val="11"/>
            <color indexed="81"/>
            <rFont val="Tahoma"/>
            <family val="2"/>
          </rPr>
          <t xml:space="preserve"> identisch.
Dieses Tool unterstützt nur (noch) das verursachungsgerechte Verfahren mit 2 Anteilsfaktoren. </t>
        </r>
      </text>
    </comment>
    <comment ref="G28" authorId="0" shapeId="0" xr:uid="{00000000-0006-0000-0800-000011000000}">
      <text>
        <r>
          <rPr>
            <b/>
            <sz val="11"/>
            <color indexed="81"/>
            <rFont val="Segoe UI"/>
            <family val="2"/>
          </rPr>
          <t>GW:</t>
        </r>
        <r>
          <rPr>
            <sz val="11"/>
            <color indexed="81"/>
            <rFont val="Segoe UI"/>
            <family val="2"/>
          </rPr>
          <t xml:space="preserve">
§ 120 Abs. 4 EnWG: </t>
        </r>
        <r>
          <rPr>
            <vertAlign val="superscript"/>
            <sz val="11"/>
            <color indexed="81"/>
            <rFont val="Segoe UI"/>
            <family val="2"/>
          </rPr>
          <t>1</t>
        </r>
        <r>
          <rPr>
            <sz val="11"/>
            <color indexed="81"/>
            <rFont val="Segoe UI"/>
            <family val="2"/>
          </rPr>
          <t xml:space="preserve">Bei der Ermittlung der Entgelte für dezentrale Einspeisungen, die für den Zeitraum ab dem 1. Januar 2018 gezahlt werden, sind als Obergrenze diejenigen Netzentgelte der vorgelagerten Netz- oder Umspannebene zugrunde zu legen, die für diese Netz- oder Umspannebene am 31. Dezember 2016 anzuwenden waren. </t>
        </r>
        <r>
          <rPr>
            <vertAlign val="superscript"/>
            <sz val="11"/>
            <color indexed="81"/>
            <rFont val="Segoe UI"/>
            <family val="2"/>
          </rPr>
          <t>2</t>
        </r>
        <r>
          <rPr>
            <sz val="11"/>
            <color indexed="81"/>
            <rFont val="Segoe UI"/>
            <family val="2"/>
          </rPr>
          <t xml:space="preserve">Satz 1 ist auch für Erzeugungsanlagen anzuwenden, die nach dem 31. Dezember 2016 in Betrieb genommen worden sind oder werden.
§ 120 Abs. 5 Sätze 1 und 2 EnWG: </t>
        </r>
        <r>
          <rPr>
            <vertAlign val="superscript"/>
            <sz val="11"/>
            <color indexed="81"/>
            <rFont val="Segoe UI"/>
            <family val="2"/>
          </rPr>
          <t>1</t>
        </r>
        <r>
          <rPr>
            <sz val="11"/>
            <color indexed="81"/>
            <rFont val="Segoe UI"/>
            <family val="2"/>
          </rPr>
          <t xml:space="preserve">Bei der Ermittlung der Obergrenzen nach Absatz 4 sind ab dem 1. Januar 2018 von den Erlösobergrenzen der jeweiligen Übertragungsnetzbetreiber, so wie sie den jeweiligen Netzentgelten für das Kalenderjahr 2016 zugrunde lagen, die Kostenbestandteile nach § 17d Absatz 7 dieses Gesetzes und § 2 Absatz 5 des Energieleitungsausbaugesetzes in der bis zum Ablauf des 28. Dezember 2023 geltenden Fassung in Abzug zu bringen, die in die Netzentgelte eingeflossen sind. </t>
        </r>
        <r>
          <rPr>
            <vertAlign val="superscript"/>
            <sz val="11"/>
            <color indexed="81"/>
            <rFont val="Segoe UI"/>
            <family val="2"/>
          </rPr>
          <t>2</t>
        </r>
        <r>
          <rPr>
            <sz val="11"/>
            <color indexed="81"/>
            <rFont val="Segoe UI"/>
            <family val="2"/>
          </rPr>
          <t>Für die Zwecke der Berechnungsgrundlage zur Ermittlung der Entgelte für dezentrale Einspeisungen sind die Netzentgelte für das Kalenderjahr 2016 auf dieser Grundlage neu zu berechnen.</t>
        </r>
      </text>
    </comment>
    <comment ref="C29" authorId="0" shapeId="0" xr:uid="{00000000-0006-0000-0800-000012000000}">
      <text>
        <r>
          <rPr>
            <b/>
            <sz val="11"/>
            <color indexed="81"/>
            <rFont val="Tahoma"/>
            <family val="2"/>
          </rPr>
          <t>GW:</t>
        </r>
        <r>
          <rPr>
            <sz val="11"/>
            <color indexed="81"/>
            <rFont val="Tahoma"/>
            <family val="2"/>
          </rPr>
          <t xml:space="preserve">
0 ≤ </t>
        </r>
        <r>
          <rPr>
            <i/>
            <sz val="11"/>
            <color indexed="81"/>
            <rFont val="Tahoma"/>
            <family val="2"/>
          </rPr>
          <t>a</t>
        </r>
        <r>
          <rPr>
            <sz val="11"/>
            <color indexed="81"/>
            <rFont val="Tahoma"/>
            <family val="2"/>
          </rPr>
          <t xml:space="preserve">, der Anteilsfaktor kann insbesonder auch größer als 1 sein.
</t>
        </r>
      </text>
    </comment>
    <comment ref="T29" authorId="1" shapeId="0" xr:uid="{00000000-0006-0000-0800-000013000000}">
      <text>
        <r>
          <rPr>
            <b/>
            <sz val="11"/>
            <color indexed="81"/>
            <rFont val="Segoe UI"/>
            <family val="2"/>
          </rPr>
          <t xml:space="preserve">Auburger, Kilian (Reg </t>
        </r>
        <r>
          <rPr>
            <b/>
            <sz val="11"/>
            <color indexed="81"/>
            <rFont val="Tahoma"/>
            <family val="2"/>
          </rPr>
          <t>Oberpfalz):</t>
        </r>
        <r>
          <rPr>
            <sz val="11"/>
            <color indexed="81"/>
            <rFont val="Tahoma"/>
            <family val="2"/>
          </rPr>
          <t xml:space="preserve">
Siehe Kasten zur Netzreservekapazität (NRK) im Register "Allgemeines".</t>
        </r>
      </text>
    </comment>
    <comment ref="C30" authorId="0" shapeId="0" xr:uid="{00000000-0006-0000-0800-000014000000}">
      <text>
        <r>
          <rPr>
            <b/>
            <sz val="11"/>
            <color indexed="81"/>
            <rFont val="Tahoma"/>
            <family val="2"/>
          </rPr>
          <t>GW:</t>
        </r>
        <r>
          <rPr>
            <sz val="11"/>
            <color indexed="81"/>
            <rFont val="Tahoma"/>
            <family val="2"/>
          </rPr>
          <t xml:space="preserve">
0 ≤ </t>
        </r>
        <r>
          <rPr>
            <i/>
            <sz val="11"/>
            <color indexed="81"/>
            <rFont val="Tahoma"/>
            <family val="2"/>
          </rPr>
          <t>a</t>
        </r>
        <r>
          <rPr>
            <sz val="11"/>
            <color indexed="81"/>
            <rFont val="Tahoma"/>
            <family val="2"/>
          </rPr>
          <t xml:space="preserve">, der Anteilsfaktor kann insbesonder auch größer als 1 sein.
</t>
        </r>
      </text>
    </comment>
    <comment ref="A31" authorId="0" shapeId="0" xr:uid="{00000000-0006-0000-0800-000015000000}">
      <text>
        <r>
          <rPr>
            <b/>
            <sz val="11"/>
            <color indexed="81"/>
            <rFont val="Tahoma"/>
            <family val="2"/>
          </rPr>
          <t>GW:</t>
        </r>
        <r>
          <rPr>
            <sz val="11"/>
            <color indexed="81"/>
            <rFont val="Tahoma"/>
            <family val="2"/>
          </rPr>
          <t xml:space="preserve">
rechnet im ersten Bild den grünen Strich in den blauen Strich um</t>
        </r>
      </text>
    </comment>
    <comment ref="C31" authorId="0" shapeId="0" xr:uid="{00000000-0006-0000-0800-000016000000}">
      <text>
        <r>
          <rPr>
            <b/>
            <sz val="11"/>
            <color indexed="81"/>
            <rFont val="Tahoma"/>
            <family val="2"/>
          </rPr>
          <t>GW:</t>
        </r>
        <r>
          <rPr>
            <sz val="11"/>
            <color indexed="81"/>
            <rFont val="Tahoma"/>
            <family val="2"/>
          </rPr>
          <t xml:space="preserve">
0 ≤ </t>
        </r>
        <r>
          <rPr>
            <i/>
            <sz val="11"/>
            <color indexed="81"/>
            <rFont val="Tahoma"/>
            <family val="2"/>
          </rPr>
          <t>s</t>
        </r>
        <r>
          <rPr>
            <sz val="11"/>
            <color indexed="81"/>
            <rFont val="Tahoma"/>
            <family val="2"/>
          </rPr>
          <t xml:space="preserve"> ≤ 1
s = 0: keine tatsächliche Vermeidungsleistung in dieser Ebene des Netzbetreibers
s = 1: die Überspeisung zum Zeitpunkt </t>
        </r>
        <r>
          <rPr>
            <i/>
            <sz val="11"/>
            <color indexed="81"/>
            <rFont val="Tahoma"/>
            <family val="2"/>
          </rPr>
          <t>t</t>
        </r>
        <r>
          <rPr>
            <i/>
            <vertAlign val="subscript"/>
            <sz val="11"/>
            <color indexed="81"/>
            <rFont val="Tahoma"/>
            <family val="2"/>
          </rPr>
          <t>E</t>
        </r>
        <r>
          <rPr>
            <sz val="11"/>
            <color indexed="81"/>
            <rFont val="Tahoma"/>
            <family val="2"/>
          </rPr>
          <t xml:space="preserve"> ist 0 (</t>
        </r>
        <r>
          <rPr>
            <i/>
            <sz val="11"/>
            <color indexed="81"/>
            <rFont val="Tahoma"/>
            <family val="2"/>
          </rPr>
          <t>P</t>
        </r>
        <r>
          <rPr>
            <i/>
            <vertAlign val="subscript"/>
            <sz val="11"/>
            <color indexed="81"/>
            <rFont val="Tahoma"/>
            <family val="2"/>
          </rPr>
          <t>A,tE</t>
        </r>
        <r>
          <rPr>
            <sz val="11"/>
            <color indexed="81"/>
            <rFont val="Tahoma"/>
            <family val="2"/>
          </rPr>
          <t xml:space="preserve"> = 0) und die maximale Bezugslast und die Bezugslast zum Zeitpunkt </t>
        </r>
        <r>
          <rPr>
            <i/>
            <sz val="11"/>
            <color indexed="81"/>
            <rFont val="Tahoma"/>
            <family val="2"/>
          </rPr>
          <t>t</t>
        </r>
        <r>
          <rPr>
            <i/>
            <vertAlign val="subscript"/>
            <sz val="11"/>
            <color indexed="81"/>
            <rFont val="Tahoma"/>
            <family val="2"/>
          </rPr>
          <t>E</t>
        </r>
        <r>
          <rPr>
            <sz val="11"/>
            <color indexed="81"/>
            <rFont val="Tahoma"/>
            <family val="2"/>
          </rPr>
          <t xml:space="preserve"> sind identisch (</t>
        </r>
        <r>
          <rPr>
            <i/>
            <sz val="11"/>
            <color indexed="81"/>
            <rFont val="Tahoma"/>
            <family val="2"/>
          </rPr>
          <t>P</t>
        </r>
        <r>
          <rPr>
            <i/>
            <vertAlign val="subscript"/>
            <sz val="11"/>
            <color indexed="81"/>
            <rFont val="Tahoma"/>
            <family val="2"/>
          </rPr>
          <t>B,max</t>
        </r>
        <r>
          <rPr>
            <i/>
            <sz val="11"/>
            <color indexed="81"/>
            <rFont val="Tahoma"/>
            <family val="2"/>
          </rPr>
          <t xml:space="preserve"> = P</t>
        </r>
        <r>
          <rPr>
            <i/>
            <vertAlign val="subscript"/>
            <sz val="11"/>
            <color indexed="81"/>
            <rFont val="Tahoma"/>
            <family val="2"/>
          </rPr>
          <t>B,tE</t>
        </r>
        <r>
          <rPr>
            <i/>
            <sz val="11"/>
            <color indexed="81"/>
            <rFont val="Tahoma"/>
            <family val="2"/>
          </rPr>
          <t>)</t>
        </r>
      </text>
    </comment>
    <comment ref="A35" authorId="0" shapeId="0" xr:uid="{00000000-0006-0000-0800-000017000000}">
      <text>
        <r>
          <rPr>
            <b/>
            <sz val="11"/>
            <color indexed="81"/>
            <rFont val="Tahoma"/>
            <family val="2"/>
          </rPr>
          <t>GW:</t>
        </r>
        <r>
          <rPr>
            <sz val="11"/>
            <color indexed="81"/>
            <rFont val="Tahoma"/>
            <family val="2"/>
          </rPr>
          <t xml:space="preserve">
Leistungsgemessene Einspeiser müssen nur dann gesondert aufgeführt werden, wenn sie einen Beitrag zur Vermeidungsleistung liefern, d. h. wenn sie zum Zeitpunkt der Jahreshöchstlast der verlustbehafteten Spannungsebene tatsächlich einspeisen. 
EEG-Einspeiser mit zeitweiliger oder prozentualer sonstiger Direktvermarktung müssen zweimal aufgeführt werden (einmal als EEG-Anlage und einmal als sonstige Anlage), um einen Vergleich mit dem EEG-Testat zu ermöglichen.</t>
        </r>
        <r>
          <rPr>
            <sz val="9"/>
            <color indexed="81"/>
            <rFont val="Tahoma"/>
            <family val="2"/>
          </rPr>
          <t xml:space="preserve">
</t>
        </r>
      </text>
    </comment>
    <comment ref="B35" authorId="0" shapeId="0" xr:uid="{00000000-0006-0000-0800-000018000000}">
      <text>
        <r>
          <rPr>
            <b/>
            <sz val="11"/>
            <color indexed="81"/>
            <rFont val="Tahoma"/>
            <family val="2"/>
          </rPr>
          <t>GW:</t>
        </r>
        <r>
          <rPr>
            <sz val="11"/>
            <color indexed="81"/>
            <rFont val="Tahoma"/>
            <family val="2"/>
          </rPr>
          <t xml:space="preserve">
Das Eingabefeld erscheint rot, 
- falls keine Auswahl getroffen wurde, obwohl ein Arbeits- oder ein Leistungswert eingegeben wurde oder
- die getroffene Auswahl nicht zulässig ist (entsteht z. B. beim Kopieren)
Anlagen mit sonstiger Direktvermarktung sind zweimal zu erfassen. Die Arbeit ist nach tatsächlichem Anfall, die Leistung zeitanteilig einzugeben (Gleicher Ansicht: Anhang zum BDEW/VKU – Beiblatt zum Kalkulationsleitfaden
nach § 18 StromNEV (Direktvermarktung von Strom aus EEG-Anlagen vom 09.10.2009)).</t>
        </r>
      </text>
    </comment>
    <comment ref="C35" authorId="0" shapeId="0" xr:uid="{00000000-0006-0000-0800-000019000000}">
      <text>
        <r>
          <rPr>
            <b/>
            <sz val="11"/>
            <color indexed="81"/>
            <rFont val="Tahoma"/>
            <family val="2"/>
          </rPr>
          <t>GW:</t>
        </r>
        <r>
          <rPr>
            <sz val="11"/>
            <color indexed="81"/>
            <rFont val="Tahoma"/>
            <family val="2"/>
          </rPr>
          <t xml:space="preserve">
Bei Anlagen, die im Jahr 2017 oder früher in Betrieb genommen wurden, reicht es aus das Jahr 2017 einzugeben.
Das Auswahlfeld erscheint rot, wenn 
- eine Einspeiseart ausgewählt wurde und 
- weder ein Jahr der Inbetriebnahme noch ein passender Zeitraum der Inbetriebnahme eingegeben wurde.</t>
        </r>
      </text>
    </comment>
    <comment ref="D35" authorId="1" shapeId="0" xr:uid="{00000000-0006-0000-0800-00001A000000}">
      <text>
        <r>
          <rPr>
            <b/>
            <sz val="11"/>
            <color indexed="81"/>
            <rFont val="Tahoma"/>
            <family val="2"/>
          </rPr>
          <t>Auburger, Kilian (Reg Oberpfalz):</t>
        </r>
        <r>
          <rPr>
            <sz val="11"/>
            <color indexed="81"/>
            <rFont val="Tahoma"/>
            <family val="2"/>
          </rPr>
          <t xml:space="preserve">
Die fikitive Einspeisung des Selbstverbrauchs eines dezentralen Einspeisers ist nicht ansetzbar, da es bei der fiktiven Rücklieferung des Selbstverbrauchs eine Gegenposition in gleicher Höhe gibt. </t>
        </r>
      </text>
    </comment>
    <comment ref="F35" authorId="0" shapeId="0" xr:uid="{00000000-0006-0000-0800-00001B000000}">
      <text>
        <r>
          <rPr>
            <b/>
            <sz val="11"/>
            <color indexed="81"/>
            <rFont val="Tahoma"/>
            <family val="2"/>
          </rPr>
          <t>GW:</t>
        </r>
        <r>
          <rPr>
            <sz val="11"/>
            <color indexed="81"/>
            <rFont val="Tahoma"/>
            <family val="2"/>
          </rPr>
          <t xml:space="preserve">
Das Eingabefeld erscheint rot, 
- falls keine Auswahl getroffen wurde, obwohl ein Arbeits- oder ein Leistungswert eingegeben wurde oder
- falls der Einspeiser einen überwiegenden Anteil an der Vermeidungsleistung hat oder
- falls es sich um einen EEG-Einspeiser handelt und „j“ gewählt wurde.
Es ist meistens "n" zu wählen, da ein leistungsgemessener Einspeiser meistens auch seinen leistungsgemessenen Wert berücksichtigt haben möchte.
Der VDN-Leitfaden geht davon aus, dass sämtliche EEG-Anlagen verstetigt werden (Seite 5, letzter Satz). Wir halten dies weder für sachgerecht noch für verursachungsgerecht. Das Eingabefeld erscheint bei einer verstetigten EEG-Anlage deshalb rot. 
Würde ein EEG-Einspeiser eine Verstetigung wählen, würde dieser EEG-Einspeiser die vermNE der anderen leistungsgemessenen Einspeiser mit verstetigter Bewertung beeinflussen. Die Vergütung dieses EEG-Einspeisers würde sich aber nicht ändern, da sie sich nach dem EEG richtet. Insbesondere würde ein (volatiler) EEG-Einspeiser der zum Zeitpunkt der maximalen verlustbehafteten Entnahmelast nicht einspeist, die vermNE der anderen Einspeiser mit verstetigter Bewertung reduzieren. 
Im Tool können nur Einspeiser verstetigt werden, die keinen überwiegenden Anteil an der Vermeidungsleistung haben (vgl. § 18 Abs. 3 Satz 2 StromNEV).
Der </t>
        </r>
        <r>
          <rPr>
            <i/>
            <sz val="11"/>
            <color indexed="81"/>
            <rFont val="Tahoma"/>
            <family val="2"/>
          </rPr>
          <t>k</t>
        </r>
        <r>
          <rPr>
            <sz val="11"/>
            <color indexed="81"/>
            <rFont val="Tahoma"/>
            <family val="2"/>
          </rPr>
          <t xml:space="preserve">-te leistungsgemessene Einspeiser hat keinen überwiegenden Anteil an der Vermeidungsleistung, falls 2 * </t>
        </r>
        <r>
          <rPr>
            <i/>
            <sz val="11"/>
            <color indexed="81"/>
            <rFont val="Tahoma"/>
            <family val="2"/>
          </rPr>
          <t>P</t>
        </r>
        <r>
          <rPr>
            <i/>
            <vertAlign val="superscript"/>
            <sz val="11"/>
            <color indexed="81"/>
            <rFont val="Tahoma"/>
            <family val="2"/>
          </rPr>
          <t>k</t>
        </r>
        <r>
          <rPr>
            <i/>
            <vertAlign val="subscript"/>
            <sz val="11"/>
            <color indexed="81"/>
            <rFont val="Tahoma"/>
            <family val="2"/>
          </rPr>
          <t>i,tE</t>
        </r>
        <r>
          <rPr>
            <sz val="11"/>
            <color indexed="81"/>
            <rFont val="Tahoma"/>
            <family val="2"/>
          </rPr>
          <t xml:space="preserve"> &lt;= </t>
        </r>
        <r>
          <rPr>
            <i/>
            <sz val="11"/>
            <color indexed="81"/>
            <rFont val="Tahoma"/>
            <family val="2"/>
          </rPr>
          <t>P</t>
        </r>
        <r>
          <rPr>
            <i/>
            <vertAlign val="subscript"/>
            <sz val="11"/>
            <color indexed="81"/>
            <rFont val="Tahoma"/>
            <family val="2"/>
          </rPr>
          <t>verm,tE</t>
        </r>
        <r>
          <rPr>
            <sz val="11"/>
            <color indexed="81"/>
            <rFont val="Tahoma"/>
            <family val="2"/>
          </rPr>
          <t xml:space="preserve">. Nach dem Wortlaut der StromNEV wird auf die Vermeidungsleistung abgestellt, ohne klarzustellen, ob die Vermeidungsleistung zum Zeitpunkt </t>
        </r>
        <r>
          <rPr>
            <i/>
            <sz val="11"/>
            <color indexed="81"/>
            <rFont val="Tahoma"/>
            <family val="2"/>
          </rPr>
          <t>t</t>
        </r>
        <r>
          <rPr>
            <i/>
            <vertAlign val="subscript"/>
            <sz val="11"/>
            <color indexed="81"/>
            <rFont val="Tahoma"/>
            <family val="2"/>
          </rPr>
          <t>E</t>
        </r>
        <r>
          <rPr>
            <sz val="11"/>
            <color indexed="81"/>
            <rFont val="Tahoma"/>
            <family val="2"/>
          </rPr>
          <t xml:space="preserve"> oder die tatsächliche Vermeidungsleistung gemeint ist. Da ein Anteil anzuwenden ist und die Leistung des k-ten Einspeisers zum Zeitpunkt </t>
        </r>
        <r>
          <rPr>
            <i/>
            <sz val="11"/>
            <color indexed="81"/>
            <rFont val="Tahoma"/>
            <family val="2"/>
          </rPr>
          <t>t</t>
        </r>
        <r>
          <rPr>
            <i/>
            <vertAlign val="subscript"/>
            <sz val="11"/>
            <color indexed="81"/>
            <rFont val="Tahoma"/>
            <family val="2"/>
          </rPr>
          <t>E</t>
        </r>
        <r>
          <rPr>
            <i/>
            <sz val="11"/>
            <color indexed="81"/>
            <rFont val="Tahoma"/>
            <family val="2"/>
          </rPr>
          <t xml:space="preserve"> </t>
        </r>
        <r>
          <rPr>
            <sz val="11"/>
            <color indexed="81"/>
            <rFont val="Tahoma"/>
            <family val="2"/>
          </rPr>
          <t xml:space="preserve">herangezogen wird, muss die Vermeidungsleistung zum Zeitpunkt </t>
        </r>
        <r>
          <rPr>
            <i/>
            <sz val="11"/>
            <color indexed="81"/>
            <rFont val="Tahoma"/>
            <family val="2"/>
          </rPr>
          <t>t</t>
        </r>
        <r>
          <rPr>
            <i/>
            <vertAlign val="subscript"/>
            <sz val="11"/>
            <color indexed="81"/>
            <rFont val="Tahoma"/>
            <family val="2"/>
          </rPr>
          <t>E</t>
        </r>
        <r>
          <rPr>
            <sz val="11"/>
            <color indexed="81"/>
            <rFont val="Tahoma"/>
            <family val="2"/>
          </rPr>
          <t xml:space="preserve"> gemeint sein.
Das einmal gewählte Verfahren sollte über mehrere Jahre beibehalten werden.
In der Praxis finden sich z. B. beim Bayernwerk auch folgende Regelungen: 
- Keine Wahlmöglichkeit haben leistungsgemessene Einspeiser, bei denen die maximale Einspeiseleistung 2 MW (NE4, NE5, NE6 und NE7) bzw. 20 MW (NE2 und NE3) übersteigt.
- Einspeiser mit Wahlmöglichkeit müssen sich im Vorjahr bis spätestens 30.11. entscheiden, welches Verfahren sie gerne hätten.
</t>
        </r>
      </text>
    </comment>
    <comment ref="G35" authorId="0" shapeId="0" xr:uid="{00000000-0006-0000-0800-00001C000000}">
      <text>
        <r>
          <rPr>
            <b/>
            <sz val="11"/>
            <color indexed="81"/>
            <rFont val="Tahoma"/>
            <family val="2"/>
          </rPr>
          <t>GW:</t>
        </r>
        <r>
          <rPr>
            <sz val="11"/>
            <color indexed="81"/>
            <rFont val="Tahoma"/>
            <family val="2"/>
          </rPr>
          <t xml:space="preserve">
Diese Zahl wird auch bei einer Verstetigung benötigt, um zu überprüfen, ob der Einspeiser einen überwiegenden Anteil an der Vermeidungsleistung hat (vgl. § 18 Abs. 3 Satz 2).</t>
        </r>
      </text>
    </comment>
    <comment ref="H35" authorId="0" shapeId="0" xr:uid="{00000000-0006-0000-0800-00001D000000}">
      <text>
        <r>
          <rPr>
            <b/>
            <sz val="11"/>
            <color indexed="81"/>
            <rFont val="Arial"/>
            <family val="2"/>
          </rPr>
          <t>GW:</t>
        </r>
        <r>
          <rPr>
            <sz val="11"/>
            <color indexed="81"/>
            <rFont val="Arial"/>
            <family val="2"/>
          </rPr>
          <t xml:space="preserve">
(gemessene Leistung) oder
(verstetigte Leistung *  a</t>
        </r>
        <r>
          <rPr>
            <vertAlign val="superscript"/>
            <sz val="11"/>
            <color indexed="81"/>
            <rFont val="Arial"/>
            <family val="2"/>
          </rPr>
          <t>L</t>
        </r>
        <r>
          <rPr>
            <sz val="11"/>
            <color indexed="81"/>
            <rFont val="Arial"/>
            <family val="2"/>
          </rPr>
          <t xml:space="preserve"> bzw. a</t>
        </r>
        <r>
          <rPr>
            <vertAlign val="superscript"/>
            <sz val="11"/>
            <color indexed="81"/>
            <rFont val="Arial"/>
            <family val="2"/>
          </rPr>
          <t>nL</t>
        </r>
        <r>
          <rPr>
            <sz val="11"/>
            <color indexed="81"/>
            <rFont val="Arial"/>
            <family val="2"/>
          </rPr>
          <t>)</t>
        </r>
      </text>
    </comment>
    <comment ref="J35" authorId="1" shapeId="0" xr:uid="{00000000-0006-0000-0800-00001E000000}">
      <text>
        <r>
          <rPr>
            <b/>
            <sz val="11"/>
            <color indexed="81"/>
            <rFont val="Tahoma"/>
            <family val="2"/>
          </rPr>
          <t>Auburger, Kilian (Reg Oberpfalz):</t>
        </r>
        <r>
          <rPr>
            <sz val="11"/>
            <color indexed="81"/>
            <rFont val="Tahoma"/>
            <family val="2"/>
          </rPr>
          <t xml:space="preserve">
Dieses Feld erscheint rot, wenn die eingetragene Gewichtung
- bei EEG-, KWKG- und sonstigen Einspeisern sowie Einspeisern ohne vermNE nicht der Gewichtung nach § 18 Abs. 1 Satz 1 und 2 sowie § 18 Abs. 5 StromNEV entspricht oder 
- bei Rückspeisung aus der eigenen nachgelagerten Ebene von der berechneten Gewichtung in Zelle J21 abweicht.</t>
        </r>
        <r>
          <rPr>
            <sz val="9"/>
            <color indexed="81"/>
            <rFont val="Segoe UI"/>
            <family val="2"/>
          </rPr>
          <t xml:space="preserve">
</t>
        </r>
      </text>
    </comment>
    <comment ref="K35" authorId="1" shapeId="0" xr:uid="{00000000-0006-0000-0800-00001F000000}">
      <text>
        <r>
          <rPr>
            <b/>
            <sz val="11"/>
            <color indexed="81"/>
            <rFont val="Tahoma"/>
            <family val="2"/>
          </rPr>
          <t>Auburger, Kilian (Reg Oberpfalz):</t>
        </r>
        <r>
          <rPr>
            <sz val="11"/>
            <color indexed="81"/>
            <rFont val="Tahoma"/>
            <family val="2"/>
          </rPr>
          <t xml:space="preserve">
Dieses Feld erscheint rot, wenn die eingetragene Gewichtung
- bei EEG-, KWKG- und sonstigen Einspeisern sowie Einspeisern ohne vermNE nicht mit der Gewichtung der Arbeit desselben Einspeisers übereinstimmt oder 
- bei Rückspeisung aus der eigenen nachgelagerten Ebene von der berechneten Gewichtung in Zelle K21 abweicht.</t>
        </r>
        <r>
          <rPr>
            <sz val="9"/>
            <color indexed="81"/>
            <rFont val="Segoe UI"/>
            <family val="2"/>
          </rPr>
          <t xml:space="preserve">
</t>
        </r>
      </text>
    </comment>
    <comment ref="M35" authorId="0" shapeId="0" xr:uid="{00000000-0006-0000-0800-000020000000}">
      <text>
        <r>
          <rPr>
            <b/>
            <sz val="11"/>
            <color indexed="81"/>
            <rFont val="Tahoma"/>
            <family val="2"/>
          </rPr>
          <t>GW:</t>
        </r>
        <r>
          <rPr>
            <sz val="11"/>
            <color indexed="81"/>
            <rFont val="Tahoma"/>
            <family val="2"/>
          </rPr>
          <t xml:space="preserve">
R: Referenzpreisblatt
A: aktuelles Preisblatt
In diesem Tool wird - abweichend von der Anwendungshilfe "Fragen und Antworten zur Umsetzung des NEMoG", Ergänzung vom 20.06.2018, 2. Antwort - für jeden Einspeiser einzeln entschieden, welches Preisblatt zur Anwendung kommt. Unterschiedliche Preisblätter kommen in der Regel dann zur Anwendung, wenn in einem Preisblatt der Arbeitspreis und dem [einem] anderen Preisblatt der Leistungspreis größer ist.
Die Begründung der abweichenden Vorgehensweise liegt in der Transparenz für den Einspeiser: Ein Einspeiser kann die im Tool verwendete Vorgehensweise nachvollziehen. Die Berechnung einer Briefmarke kann man hingegen von einem Einspeiser nicht erwarten.
Die gesetzliche Regelung findet sich § 120 Abs. 4 Satz 1 EnWG.</t>
        </r>
      </text>
    </comment>
    <comment ref="U35" authorId="0" shapeId="0" xr:uid="{00000000-0006-0000-0800-000021000000}">
      <text>
        <r>
          <rPr>
            <b/>
            <sz val="11"/>
            <color indexed="81"/>
            <rFont val="Tahoma"/>
            <family val="2"/>
          </rPr>
          <t>GW:</t>
        </r>
        <r>
          <rPr>
            <sz val="11"/>
            <color indexed="81"/>
            <rFont val="Tahoma"/>
            <family val="2"/>
          </rPr>
          <t xml:space="preserve">
Dieser Schlüssel verteilt die erhaltene Rückspeisevergütung für Leistung auf die dezentralen Einspeiser.
Der Schlüssel 2 berücksichtigt den Zeitpunkt, der Grundlage war für die erhaltene Rückspeisevergütung für Leistung, und ist daher grundsätzlich dem Schlüssel 1 und dem Schlüssel 3 vorzuziehen. 
Für Schlüssel 3 spricht, dass ein Einspeiser einen Zeitpunkt besser planen kann. Für Schlüssel 1 und Schlüssel 3 spricht die einfachere Handhabung. In der Praxis kann man sich deshalb oft mit dem Schlüssel 1 oder mit dem Schlüssel 3 behelfen.
Für den Fall, dass die Jahreshöchstlast der Ebene und die Jahreshöchstlast der vorgelagerten Ebene zum selben Zeitpunkt auftritt, fallen Schlüssel 2 und Schlüssel 3 zusammen.
Schlüssel 1 entspricht einer Verstetigung sämtlicher Einspeiser bei der Rückspeisung.
</t>
        </r>
      </text>
    </comment>
    <comment ref="W35" authorId="1" shapeId="0" xr:uid="{00000000-0006-0000-0800-000022000000}">
      <text>
        <r>
          <rPr>
            <b/>
            <sz val="11"/>
            <color indexed="81"/>
            <rFont val="Segoe UI"/>
            <family val="2"/>
          </rPr>
          <t xml:space="preserve">Auburger, Kilian (Reg </t>
        </r>
        <r>
          <rPr>
            <b/>
            <sz val="11"/>
            <color indexed="81"/>
            <rFont val="Tahoma"/>
            <family val="2"/>
          </rPr>
          <t>Oberpfalz):</t>
        </r>
        <r>
          <rPr>
            <sz val="11"/>
            <color indexed="81"/>
            <rFont val="Tahoma"/>
            <family val="2"/>
          </rPr>
          <t xml:space="preserve">
Die weitergegebenen Kosten müssen in Summe mit den bei den vorgelagerten Netzkosten angesetzten Kosten übereinstimmen. Die Verteilung auf die Einspeiser ist jeweils im Einzelfall zu entscheiden.</t>
        </r>
      </text>
    </comment>
    <comment ref="A51" authorId="0" shapeId="0" xr:uid="{00000000-0006-0000-0800-000023000000}">
      <text>
        <r>
          <rPr>
            <b/>
            <sz val="12"/>
            <color indexed="81"/>
            <rFont val="Tahoma"/>
            <family val="2"/>
          </rPr>
          <t>GW:</t>
        </r>
        <r>
          <rPr>
            <sz val="12"/>
            <color indexed="81"/>
            <rFont val="Tahoma"/>
            <family val="2"/>
          </rPr>
          <t xml:space="preserve">
</t>
        </r>
        <r>
          <rPr>
            <sz val="11"/>
            <color indexed="81"/>
            <rFont val="Tahoma"/>
            <family val="2"/>
          </rPr>
          <t>EEG-Einspeiser mit zeitweiliger oder prozentualer sonstiger Direktvermarktung müssen zweimal berücksichtigt werden (einmal als EEG-Anlage und einmal als sonstige Anlage), um einen Vergleich mit dem EEG-Testat zu ermöglichen.</t>
        </r>
      </text>
    </comment>
    <comment ref="E69" authorId="0" shapeId="0" xr:uid="{00000000-0006-0000-0800-000024000000}">
      <text>
        <r>
          <rPr>
            <b/>
            <sz val="11"/>
            <color indexed="81"/>
            <rFont val="Tahoma"/>
            <family val="2"/>
          </rPr>
          <t>GW:</t>
        </r>
        <r>
          <rPr>
            <sz val="11"/>
            <color indexed="81"/>
            <rFont val="Tahoma"/>
            <family val="2"/>
          </rPr>
          <t xml:space="preserve">
Diese Zelle erschein rot, wenn die Rechnung oben zu einem anderen Wert führt.</t>
        </r>
      </text>
    </comment>
    <comment ref="O69" authorId="0" shapeId="0" xr:uid="{00000000-0006-0000-0800-000025000000}">
      <text>
        <r>
          <rPr>
            <b/>
            <sz val="11"/>
            <color indexed="81"/>
            <rFont val="Tahoma"/>
            <family val="2"/>
          </rPr>
          <t>GW:</t>
        </r>
        <r>
          <rPr>
            <sz val="11"/>
            <color indexed="81"/>
            <rFont val="Tahoma"/>
            <family val="2"/>
          </rPr>
          <t xml:space="preserve">
Diese Zelle erschein rot, wenn die Rechnung oben zu einem anderen Wert führt.</t>
        </r>
      </text>
    </comment>
  </commentList>
</comments>
</file>

<file path=xl/sharedStrings.xml><?xml version="1.0" encoding="utf-8"?>
<sst xmlns="http://schemas.openxmlformats.org/spreadsheetml/2006/main" count="1908" uniqueCount="512">
  <si>
    <t>tatsächliche vermiedene Leistung</t>
  </si>
  <si>
    <t>j</t>
  </si>
  <si>
    <t>verstetigte Leistung?
j/n</t>
  </si>
  <si>
    <t>Summe</t>
  </si>
  <si>
    <t>vermiedene Netzentgelte</t>
  </si>
  <si>
    <t>Gesamt</t>
  </si>
  <si>
    <t>tatsächlich vermiedene Arbeit</t>
  </si>
  <si>
    <t>[kWh]</t>
  </si>
  <si>
    <t xml:space="preserve">Arbeit 
</t>
  </si>
  <si>
    <t>[kW]</t>
  </si>
  <si>
    <t>[€]</t>
  </si>
  <si>
    <t>MS</t>
  </si>
  <si>
    <t>NS</t>
  </si>
  <si>
    <t>D</t>
  </si>
  <si>
    <t>V</t>
  </si>
  <si>
    <t>- maximale Bezugslast</t>
  </si>
  <si>
    <t>KWKG</t>
  </si>
  <si>
    <t>NE7</t>
  </si>
  <si>
    <t>NE6</t>
  </si>
  <si>
    <t>NE5</t>
  </si>
  <si>
    <t>Berechnung vermiedene Netzentgelte basierend auf dem Kalkulationsleitfaden § 18 StromNEV des VDN (Stand: 03. März 2007)</t>
  </si>
  <si>
    <t>Berechnung vermiedene Netzentgelte basierend auf den Kalkulationsleitfaden § 18 StromNEV des VDN (Stand: 03. März 2007)</t>
  </si>
  <si>
    <t>Einspeisemengen</t>
  </si>
  <si>
    <t>n</t>
  </si>
  <si>
    <t>Verluste
der Ebene</t>
  </si>
  <si>
    <r>
      <t>E</t>
    </r>
    <r>
      <rPr>
        <i/>
        <vertAlign val="subscript"/>
        <sz val="11"/>
        <rFont val="Times New Roman"/>
        <family val="1"/>
      </rPr>
      <t>max</t>
    </r>
  </si>
  <si>
    <r>
      <t>t</t>
    </r>
    <r>
      <rPr>
        <i/>
        <vertAlign val="subscript"/>
        <sz val="11"/>
        <rFont val="Times New Roman"/>
        <family val="1"/>
      </rPr>
      <t>E</t>
    </r>
  </si>
  <si>
    <r>
      <t>E</t>
    </r>
    <r>
      <rPr>
        <i/>
        <vertAlign val="subscript"/>
        <sz val="11"/>
        <rFont val="Times New Roman"/>
        <family val="1"/>
      </rPr>
      <t xml:space="preserve">eingespeist </t>
    </r>
    <r>
      <rPr>
        <i/>
        <sz val="11"/>
        <rFont val="Wingdings"/>
        <charset val="2"/>
      </rPr>
      <t>é</t>
    </r>
  </si>
  <si>
    <t>r</t>
  </si>
  <si>
    <r>
      <t xml:space="preserve">Arbeit
* </t>
    </r>
    <r>
      <rPr>
        <b/>
        <i/>
        <sz val="11"/>
        <rFont val="Times New Roman"/>
        <family val="1"/>
      </rPr>
      <t>r</t>
    </r>
  </si>
  <si>
    <t>a</t>
  </si>
  <si>
    <t>s</t>
  </si>
  <si>
    <t>Differenz</t>
  </si>
  <si>
    <t>Firma des Netzbetreibers</t>
  </si>
  <si>
    <t>Gibt es mindestens zwei ungepoolte Übergabestellen?</t>
  </si>
  <si>
    <t>Wert zum Zeitpunkt Jahreshöchstlast der NE5</t>
  </si>
  <si>
    <t>Nebenrechnung Übergabe in NE6</t>
  </si>
  <si>
    <t>Nebenrechnung</t>
  </si>
  <si>
    <t>= Summenlastgang der Entnahmen aus NE5 inkl. Verluste</t>
  </si>
  <si>
    <t>= Summenlastgang der Entnahmen aus NE5 ohne Verluste</t>
  </si>
  <si>
    <t>Wert zum Zeitpunkt Jahreshöchstlast der NE6</t>
  </si>
  <si>
    <t>Zeitpunkt des Maximums des Summenlastgangs der Entnahmen aus NE6</t>
  </si>
  <si>
    <t>Nebenrechnung Übergabe in NE7</t>
  </si>
  <si>
    <t>= Summenlastgang der Entnahmen aus NE6 inkl. Verluste</t>
  </si>
  <si>
    <t>= Summenlastgang der Entnahmen aus NE6 ohne Verluste</t>
  </si>
  <si>
    <t>Wert zum Zeitpunkt Jahreshöchstlast der NE7</t>
  </si>
  <si>
    <t>Zeitpunkt des Maximums des Summenlastgangs der Entnahmen aus NE7</t>
  </si>
  <si>
    <t>= Summenlastgang der Entnahmen aus NE7 inkl. Verluste</t>
  </si>
  <si>
    <t>= Summenlastgang der Entnahmen aus NE7 ohne Verluste</t>
  </si>
  <si>
    <t>Bemerkung</t>
  </si>
  <si>
    <t>Zeitpunkt</t>
  </si>
  <si>
    <t>Zeitpunkt des Maximums des Summenlastgangs der Entnahmen aus NE5</t>
  </si>
  <si>
    <t>Regulierungskammer des Freistaats Bayern</t>
  </si>
  <si>
    <t>Abkürkzungen</t>
  </si>
  <si>
    <t>Lastgang (sollte Nulllastgang sein)</t>
  </si>
  <si>
    <t>BM</t>
  </si>
  <si>
    <t>Briefmarke</t>
  </si>
  <si>
    <t>INE</t>
  </si>
  <si>
    <t>individuelle Netzentgelte</t>
  </si>
  <si>
    <t>JHL</t>
  </si>
  <si>
    <t>Jahreshöchstlast</t>
  </si>
  <si>
    <t>Stand dieses Tools:</t>
  </si>
  <si>
    <t>vermNE</t>
  </si>
  <si>
    <t>Kurzerläuterung zu ausgewählten Registern</t>
  </si>
  <si>
    <t>EEG-Testat bzw.
Rechnungsgutschrift</t>
  </si>
  <si>
    <t>- Lastgang Verluste in NE5 (Schätzung)</t>
  </si>
  <si>
    <t>- Lastgang Verluste in NE6 (Schätzung)</t>
  </si>
  <si>
    <t>- Lastgang Verluste in NE7 (Schätzung)</t>
  </si>
  <si>
    <r>
      <t xml:space="preserve">- Bezugslast zum Zeitpunkt </t>
    </r>
    <r>
      <rPr>
        <i/>
        <sz val="11"/>
        <rFont val="Times New Roman"/>
        <family val="1"/>
      </rPr>
      <t>t</t>
    </r>
    <r>
      <rPr>
        <i/>
        <vertAlign val="subscript"/>
        <sz val="11"/>
        <rFont val="Times New Roman"/>
        <family val="1"/>
      </rPr>
      <t>E</t>
    </r>
  </si>
  <si>
    <t>Ermittlung des Lastgangs Übergabe in NE6</t>
  </si>
  <si>
    <t>Erläuterungen, Bemerkungen, Nebenrechnungen des Netzbetreibers</t>
  </si>
  <si>
    <t>(dieses Blatt ist nicht geschützt)</t>
  </si>
  <si>
    <t>Bezug von der
eigenen
vorgelagerten
Ebene</t>
  </si>
  <si>
    <t>MWK</t>
  </si>
  <si>
    <t>Maximalwertkurve</t>
  </si>
  <si>
    <t>Kontrollrechnung Nulllastgang</t>
  </si>
  <si>
    <t>Ermittlung des Lastgangs Übergabe in NE7</t>
  </si>
  <si>
    <t>JHL für vermNE</t>
  </si>
  <si>
    <t>Stunden dieses Jahres</t>
  </si>
  <si>
    <t>Verlustquote 
bezogen auf
Ausspeisungen</t>
  </si>
  <si>
    <r>
      <t xml:space="preserve">Summe
</t>
    </r>
    <r>
      <rPr>
        <u/>
        <sz val="11"/>
        <rFont val="Times New Roman"/>
        <family val="1"/>
      </rPr>
      <t>Einspeisungen</t>
    </r>
    <r>
      <rPr>
        <sz val="11"/>
        <rFont val="Times New Roman"/>
        <family val="1"/>
      </rPr>
      <t xml:space="preserve">
</t>
    </r>
  </si>
  <si>
    <r>
      <t xml:space="preserve">Summe
</t>
    </r>
    <r>
      <rPr>
        <u/>
        <sz val="11"/>
        <rFont val="Times New Roman"/>
        <family val="1"/>
      </rPr>
      <t>Ausspeisungen</t>
    </r>
    <r>
      <rPr>
        <sz val="11"/>
        <rFont val="Times New Roman"/>
        <family val="1"/>
      </rPr>
      <t xml:space="preserve">
</t>
    </r>
    <r>
      <rPr>
        <u/>
        <sz val="11"/>
        <rFont val="Times New Roman"/>
        <family val="1"/>
      </rPr>
      <t xml:space="preserve">zuzüglich Verluste
</t>
    </r>
  </si>
  <si>
    <t>EHB RegKto</t>
  </si>
  <si>
    <t>Erhebungsbogen für das Regulierungskonto</t>
  </si>
  <si>
    <t>tatsächlich eingespeiste Arbeit</t>
  </si>
  <si>
    <r>
      <t>E</t>
    </r>
    <r>
      <rPr>
        <i/>
        <vertAlign val="subscript"/>
        <sz val="11"/>
        <rFont val="Times New Roman"/>
        <family val="1"/>
      </rPr>
      <t>eingespeist</t>
    </r>
  </si>
  <si>
    <t>Bezug von der eigenen vorgelagerten Ebene</t>
  </si>
  <si>
    <t>Rückspeisung aus der eigenen nachgelagerten Ebene</t>
  </si>
  <si>
    <t>Verluste der Ebene</t>
  </si>
  <si>
    <t>v</t>
  </si>
  <si>
    <t>Abgabe an die eigene nachgelagerte Ebene</t>
  </si>
  <si>
    <t>Abgabe an die
eigene nach-
gelagerte Ebene</t>
  </si>
  <si>
    <t>maximale Bezugslast</t>
  </si>
  <si>
    <r>
      <t>P</t>
    </r>
    <r>
      <rPr>
        <i/>
        <vertAlign val="subscript"/>
        <sz val="11"/>
        <rFont val="Times New Roman"/>
        <family val="1"/>
      </rPr>
      <t>B,max</t>
    </r>
  </si>
  <si>
    <r>
      <t>P</t>
    </r>
    <r>
      <rPr>
        <i/>
        <vertAlign val="subscript"/>
        <sz val="11"/>
        <rFont val="Times New Roman"/>
        <family val="1"/>
      </rPr>
      <t>E,max</t>
    </r>
  </si>
  <si>
    <r>
      <t>- P</t>
    </r>
    <r>
      <rPr>
        <i/>
        <vertAlign val="subscript"/>
        <sz val="11"/>
        <rFont val="Times New Roman"/>
        <family val="1"/>
      </rPr>
      <t>B,max</t>
    </r>
  </si>
  <si>
    <r>
      <t>P</t>
    </r>
    <r>
      <rPr>
        <i/>
        <vertAlign val="subscript"/>
        <sz val="11"/>
        <rFont val="Times New Roman"/>
        <family val="1"/>
      </rPr>
      <t>B,tE</t>
    </r>
  </si>
  <si>
    <r>
      <t>Bezugslast zum Zeitpunkt</t>
    </r>
    <r>
      <rPr>
        <i/>
        <sz val="11"/>
        <rFont val="Times New Roman"/>
        <family val="1"/>
      </rPr>
      <t xml:space="preserve"> t</t>
    </r>
    <r>
      <rPr>
        <i/>
        <vertAlign val="subscript"/>
        <sz val="11"/>
        <rFont val="Times New Roman"/>
        <family val="1"/>
      </rPr>
      <t>E</t>
    </r>
  </si>
  <si>
    <t>Bedeutung der verwendeten Farben</t>
  </si>
  <si>
    <t>Formel/Eingabe kann bei Bedarf überschrieben werden</t>
  </si>
  <si>
    <t>Allgemeine Angaben des Netzbetreibers</t>
  </si>
  <si>
    <r>
      <t>R</t>
    </r>
    <r>
      <rPr>
        <i/>
        <vertAlign val="subscript"/>
        <sz val="11"/>
        <rFont val="Times New Roman"/>
        <family val="1"/>
      </rPr>
      <t>fN</t>
    </r>
  </si>
  <si>
    <t>Rückspeisung von fremden Netzen</t>
  </si>
  <si>
    <t>Bezug von
fremden
Netzen</t>
  </si>
  <si>
    <r>
      <t>B</t>
    </r>
    <r>
      <rPr>
        <i/>
        <vertAlign val="subscript"/>
        <sz val="11"/>
        <rFont val="Times New Roman"/>
        <family val="1"/>
      </rPr>
      <t>fN</t>
    </r>
  </si>
  <si>
    <t>Bezug von fremden Netzen</t>
  </si>
  <si>
    <r>
      <t>A</t>
    </r>
    <r>
      <rPr>
        <i/>
        <vertAlign val="subscript"/>
        <sz val="11"/>
        <rFont val="Times New Roman"/>
        <family val="1"/>
      </rPr>
      <t>fN</t>
    </r>
  </si>
  <si>
    <t>fN</t>
  </si>
  <si>
    <t>Abgabe an fremde Netze</t>
  </si>
  <si>
    <r>
      <t>B</t>
    </r>
    <r>
      <rPr>
        <i/>
        <vertAlign val="subscript"/>
        <sz val="11"/>
        <rFont val="Times New Roman"/>
        <family val="1"/>
      </rPr>
      <t>eN</t>
    </r>
  </si>
  <si>
    <r>
      <t>R</t>
    </r>
    <r>
      <rPr>
        <i/>
        <vertAlign val="subscript"/>
        <sz val="11"/>
        <rFont val="Times New Roman"/>
        <family val="1"/>
      </rPr>
      <t>eN</t>
    </r>
  </si>
  <si>
    <r>
      <t>A</t>
    </r>
    <r>
      <rPr>
        <i/>
        <vertAlign val="subscript"/>
        <sz val="11"/>
        <rFont val="Times New Roman"/>
        <family val="1"/>
      </rPr>
      <t>eN</t>
    </r>
  </si>
  <si>
    <t>eN</t>
  </si>
  <si>
    <t>Abgabe an 
Letzt-
verbraucher</t>
  </si>
  <si>
    <t>L</t>
  </si>
  <si>
    <t>Abgabe an 
fremde Netze</t>
  </si>
  <si>
    <t xml:space="preserve">Abgabe an Letztverbraucher </t>
  </si>
  <si>
    <r>
      <t>Verlustquote bezogen auf Ausspeisungen</t>
    </r>
    <r>
      <rPr>
        <i/>
        <sz val="11"/>
        <rFont val="Times New Roman"/>
        <family val="1"/>
      </rPr>
      <t xml:space="preserve"> (V / (L+eN+fN+A</t>
    </r>
    <r>
      <rPr>
        <i/>
        <vertAlign val="subscript"/>
        <sz val="11"/>
        <rFont val="Times New Roman"/>
        <family val="1"/>
      </rPr>
      <t>eN</t>
    </r>
    <r>
      <rPr>
        <i/>
        <sz val="11"/>
        <rFont val="Times New Roman"/>
        <family val="1"/>
      </rPr>
      <t>+A</t>
    </r>
    <r>
      <rPr>
        <i/>
        <vertAlign val="subscript"/>
        <sz val="11"/>
        <rFont val="Times New Roman"/>
        <family val="1"/>
      </rPr>
      <t>fN</t>
    </r>
    <r>
      <rPr>
        <i/>
        <sz val="11"/>
        <rFont val="Times New Roman"/>
        <family val="1"/>
      </rPr>
      <t>))</t>
    </r>
  </si>
  <si>
    <t>Dezentrale
Einspeisungen
aus Erzeungs-
anlagen</t>
  </si>
  <si>
    <t>Dezentrale Einspeisungen aus Erzeungsanlagen</t>
  </si>
  <si>
    <t>Lastgänge Bezug in NE5 von der eigenen NE4</t>
  </si>
  <si>
    <t>+ Lastgänge Bezug in NE5 von fremden Netzen</t>
  </si>
  <si>
    <t>+ Lastgänge dezentrale Einspeisungen in NE5 aus Erzeugungsanlagen</t>
  </si>
  <si>
    <t>+ Lastgänge dezentrale Einspeisungen in NE6 aus Erzeugungsanlagen</t>
  </si>
  <si>
    <t>+ Lastgänge Bezug in NE6 von fremden Netzen</t>
  </si>
  <si>
    <t>Lastgänge Bezug in NE6 von der eigenen NE5</t>
  </si>
  <si>
    <t>+ Lastgänge Rückspeisung in NE5 von fremden Netzen</t>
  </si>
  <si>
    <t>+ Lastgänge Rückspeisung in NE6 von fremden Netzen</t>
  </si>
  <si>
    <t>Lastgänge Übergabe in NE6</t>
  </si>
  <si>
    <t>Lastgänge Übergabe in NE7</t>
  </si>
  <si>
    <t>- Lastgänge Abgabe aus NE6 an fremde Netze</t>
  </si>
  <si>
    <t>- Lastgänge Abgabe aus NE6 an Letztverbraucher</t>
  </si>
  <si>
    <t>+ Lastgänge Bezug in NE7 von fremden Netzen</t>
  </si>
  <si>
    <t>+ Lastgänge dez. Einspeisungen in NE7 aus leistungsgemessenen Erzeugungsanlagen</t>
  </si>
  <si>
    <t>dez.</t>
  </si>
  <si>
    <t>dezentral</t>
  </si>
  <si>
    <t>+ Lastgänge Rückspeisung in NE7 von fremden Netzen</t>
  </si>
  <si>
    <t>Rückspeisungen
aus der eigenen
nachgelagerten
Ebene</t>
  </si>
  <si>
    <t>Rückspeisungen
von fremden Netzen</t>
  </si>
  <si>
    <t>- Lastgänge Abgabe aus NE7 an nicht leistungsgemessene Letztverbraucher (Schätzung)</t>
  </si>
  <si>
    <t>- Lastgang Abgabe aus NE7 an fremde Netze</t>
  </si>
  <si>
    <r>
      <t xml:space="preserve">maximale bezogene Arbeit </t>
    </r>
    <r>
      <rPr>
        <i/>
        <sz val="11"/>
        <rFont val="Times New Roman"/>
        <family val="1"/>
      </rPr>
      <t>(L + eN + fN)*(1 + v)</t>
    </r>
  </si>
  <si>
    <t>- bezogene Arbeit</t>
  </si>
  <si>
    <r>
      <t>- B</t>
    </r>
    <r>
      <rPr>
        <i/>
        <vertAlign val="subscript"/>
        <sz val="11"/>
        <rFont val="Times New Roman"/>
        <family val="1"/>
      </rPr>
      <t>eN</t>
    </r>
    <r>
      <rPr>
        <i/>
        <sz val="11"/>
        <rFont val="Times New Roman"/>
        <family val="1"/>
      </rPr>
      <t xml:space="preserve"> - B</t>
    </r>
    <r>
      <rPr>
        <i/>
        <vertAlign val="subscript"/>
        <sz val="11"/>
        <rFont val="Times New Roman"/>
        <family val="1"/>
      </rPr>
      <t>fN</t>
    </r>
  </si>
  <si>
    <t>tatsächlich eingespeiste Arbeit = dezentrale Einspeisung 
+ Rückspeisung aus der eigenen nachgelagerten Ebene
+ Rückspeisung von fremden Netzen</t>
  </si>
  <si>
    <r>
      <t>E</t>
    </r>
    <r>
      <rPr>
        <i/>
        <vertAlign val="subscript"/>
        <sz val="11"/>
        <rFont val="Times New Roman"/>
        <family val="1"/>
      </rPr>
      <t xml:space="preserve">eingespeist </t>
    </r>
    <r>
      <rPr>
        <i/>
        <sz val="11"/>
        <rFont val="Times New Roman"/>
        <family val="1"/>
      </rPr>
      <t>= 
D + R</t>
    </r>
    <r>
      <rPr>
        <i/>
        <vertAlign val="subscript"/>
        <sz val="11"/>
        <rFont val="Times New Roman"/>
        <family val="1"/>
      </rPr>
      <t>eN</t>
    </r>
    <r>
      <rPr>
        <i/>
        <sz val="11"/>
        <rFont val="Times New Roman"/>
        <family val="1"/>
      </rPr>
      <t xml:space="preserve"> + R</t>
    </r>
    <r>
      <rPr>
        <i/>
        <vertAlign val="subscript"/>
        <sz val="11"/>
        <rFont val="Times New Roman"/>
        <family val="1"/>
      </rPr>
      <t>fN</t>
    </r>
  </si>
  <si>
    <t>Entwickler dieses Tools:</t>
  </si>
  <si>
    <r>
      <t>- P</t>
    </r>
    <r>
      <rPr>
        <i/>
        <vertAlign val="subscript"/>
        <sz val="11"/>
        <rFont val="Times New Roman"/>
        <family val="1"/>
      </rPr>
      <t>B,tE</t>
    </r>
  </si>
  <si>
    <t>Der Wert der Zelle ist plausibel</t>
  </si>
  <si>
    <t>Veranschaulichung des Skalierungsfaktors</t>
  </si>
  <si>
    <t>Lastgänge Bezug in NE7 von der eigenen NE6</t>
  </si>
  <si>
    <r>
      <t>P</t>
    </r>
    <r>
      <rPr>
        <b/>
        <i/>
        <vertAlign val="subscript"/>
        <sz val="11"/>
        <rFont val="Times New Roman"/>
        <family val="1"/>
      </rPr>
      <t>verm,tat</t>
    </r>
  </si>
  <si>
    <r>
      <t>E</t>
    </r>
    <r>
      <rPr>
        <i/>
        <vertAlign val="subscript"/>
        <sz val="11"/>
        <rFont val="Times New Roman"/>
        <family val="1"/>
      </rPr>
      <t>verm,tat</t>
    </r>
  </si>
  <si>
    <r>
      <t>P</t>
    </r>
    <r>
      <rPr>
        <i/>
        <vertAlign val="subscript"/>
        <sz val="11"/>
        <rFont val="Times New Roman"/>
        <family val="1"/>
      </rPr>
      <t>E,tE</t>
    </r>
  </si>
  <si>
    <r>
      <t>E</t>
    </r>
    <r>
      <rPr>
        <b/>
        <i/>
        <vertAlign val="subscript"/>
        <sz val="11"/>
        <rFont val="Times New Roman"/>
        <family val="1"/>
      </rPr>
      <t xml:space="preserve">verm,tat </t>
    </r>
    <r>
      <rPr>
        <b/>
        <i/>
        <sz val="11"/>
        <rFont val="Wingdings"/>
        <charset val="2"/>
      </rPr>
      <t>é</t>
    </r>
  </si>
  <si>
    <r>
      <t>P</t>
    </r>
    <r>
      <rPr>
        <b/>
        <i/>
        <vertAlign val="subscript"/>
        <sz val="11"/>
        <rFont val="Times New Roman"/>
        <family val="1"/>
      </rPr>
      <t xml:space="preserve">verm,tat </t>
    </r>
    <r>
      <rPr>
        <b/>
        <i/>
        <sz val="11"/>
        <rFont val="Wingdings"/>
        <charset val="2"/>
      </rPr>
      <t>é</t>
    </r>
  </si>
  <si>
    <r>
      <t>P</t>
    </r>
    <r>
      <rPr>
        <i/>
        <vertAlign val="subscript"/>
        <sz val="11"/>
        <rFont val="Times New Roman"/>
        <family val="1"/>
      </rPr>
      <t>E,tE</t>
    </r>
    <r>
      <rPr>
        <i/>
        <sz val="11"/>
        <rFont val="Times New Roman"/>
        <family val="1"/>
      </rPr>
      <t xml:space="preserve"> = P</t>
    </r>
    <r>
      <rPr>
        <i/>
        <vertAlign val="subscript"/>
        <sz val="11"/>
        <rFont val="Times New Roman"/>
        <family val="1"/>
      </rPr>
      <t>E,max</t>
    </r>
  </si>
  <si>
    <r>
      <rPr>
        <i/>
        <sz val="11"/>
        <rFont val="Times New Roman"/>
        <family val="1"/>
      </rPr>
      <t>P</t>
    </r>
    <r>
      <rPr>
        <i/>
        <vertAlign val="subscript"/>
        <sz val="11"/>
        <rFont val="Times New Roman"/>
        <family val="1"/>
      </rPr>
      <t>verm,tat</t>
    </r>
  </si>
  <si>
    <r>
      <t>Skalierungsfaktor</t>
    </r>
    <r>
      <rPr>
        <i/>
        <sz val="11"/>
        <rFont val="Times New Roman"/>
        <family val="1"/>
      </rPr>
      <t xml:space="preserve"> (P</t>
    </r>
    <r>
      <rPr>
        <i/>
        <vertAlign val="subscript"/>
        <sz val="11"/>
        <rFont val="Times New Roman"/>
        <family val="1"/>
      </rPr>
      <t>verm,tat</t>
    </r>
    <r>
      <rPr>
        <i/>
        <sz val="11"/>
        <rFont val="Times New Roman"/>
        <family val="1"/>
      </rPr>
      <t xml:space="preserve"> / P</t>
    </r>
    <r>
      <rPr>
        <i/>
        <vertAlign val="subscript"/>
        <sz val="11"/>
        <rFont val="Times New Roman"/>
        <family val="1"/>
      </rPr>
      <t>verm,tE</t>
    </r>
    <r>
      <rPr>
        <i/>
        <sz val="11"/>
        <rFont val="Times New Roman"/>
        <family val="1"/>
      </rPr>
      <t>)</t>
    </r>
  </si>
  <si>
    <r>
      <t>Vermeidungsfaktor (</t>
    </r>
    <r>
      <rPr>
        <i/>
        <sz val="11"/>
        <rFont val="Times New Roman"/>
        <family val="1"/>
      </rPr>
      <t>E</t>
    </r>
    <r>
      <rPr>
        <i/>
        <vertAlign val="subscript"/>
        <sz val="11"/>
        <rFont val="Times New Roman"/>
        <family val="1"/>
      </rPr>
      <t>verm,tat</t>
    </r>
    <r>
      <rPr>
        <i/>
        <sz val="11"/>
        <rFont val="Times New Roman"/>
        <family val="1"/>
      </rPr>
      <t xml:space="preserve"> / E</t>
    </r>
    <r>
      <rPr>
        <i/>
        <vertAlign val="subscript"/>
        <sz val="11"/>
        <rFont val="Times New Roman"/>
        <family val="1"/>
      </rPr>
      <t>eingespeist</t>
    </r>
    <r>
      <rPr>
        <sz val="11"/>
        <rFont val="Times New Roman"/>
        <family val="1"/>
      </rPr>
      <t>)</t>
    </r>
  </si>
  <si>
    <r>
      <rPr>
        <b/>
        <i/>
        <sz val="11"/>
        <rFont val="Times New Roman"/>
        <family val="1"/>
      </rPr>
      <t>E</t>
    </r>
    <r>
      <rPr>
        <b/>
        <i/>
        <vertAlign val="subscript"/>
        <sz val="11"/>
        <rFont val="Times New Roman"/>
        <family val="1"/>
      </rPr>
      <t>verm,tat</t>
    </r>
  </si>
  <si>
    <r>
      <t xml:space="preserve">verlustbehaftete maximale Entnahmelast ( = Entnahmelast zum Zeitpunkt </t>
    </r>
    <r>
      <rPr>
        <i/>
        <sz val="11"/>
        <rFont val="Times New Roman"/>
        <family val="1"/>
      </rPr>
      <t>t</t>
    </r>
    <r>
      <rPr>
        <i/>
        <vertAlign val="subscript"/>
        <sz val="11"/>
        <rFont val="Times New Roman"/>
        <family val="1"/>
      </rPr>
      <t>E</t>
    </r>
    <r>
      <rPr>
        <sz val="11"/>
        <rFont val="Times New Roman"/>
        <family val="1"/>
      </rPr>
      <t xml:space="preserve"> = </t>
    </r>
    <r>
      <rPr>
        <i/>
        <sz val="11"/>
        <rFont val="Times New Roman"/>
        <family val="1"/>
      </rPr>
      <t>P</t>
    </r>
    <r>
      <rPr>
        <i/>
        <vertAlign val="subscript"/>
        <sz val="11"/>
        <rFont val="Times New Roman"/>
        <family val="1"/>
      </rPr>
      <t>E,tE</t>
    </r>
    <r>
      <rPr>
        <sz val="11"/>
        <rFont val="Times New Roman"/>
        <family val="1"/>
      </rPr>
      <t>)</t>
    </r>
  </si>
  <si>
    <r>
      <t xml:space="preserve">Entnahmelast zum Zeitpunt </t>
    </r>
    <r>
      <rPr>
        <i/>
        <sz val="11"/>
        <rFont val="Times New Roman"/>
        <family val="1"/>
      </rPr>
      <t>t</t>
    </r>
    <r>
      <rPr>
        <i/>
        <vertAlign val="subscript"/>
        <sz val="11"/>
        <rFont val="Times New Roman"/>
        <family val="1"/>
      </rPr>
      <t>E</t>
    </r>
    <r>
      <rPr>
        <sz val="11"/>
        <rFont val="Times New Roman"/>
        <family val="1"/>
      </rPr>
      <t xml:space="preserve"> ( = verlustbehaftete maximale Entnahmelast = </t>
    </r>
    <r>
      <rPr>
        <i/>
        <sz val="11"/>
        <rFont val="Times New Roman"/>
        <family val="1"/>
      </rPr>
      <t>P</t>
    </r>
    <r>
      <rPr>
        <i/>
        <vertAlign val="subscript"/>
        <sz val="11"/>
        <rFont val="Times New Roman"/>
        <family val="1"/>
      </rPr>
      <t>E,max</t>
    </r>
    <r>
      <rPr>
        <sz val="11"/>
        <rFont val="Times New Roman"/>
        <family val="1"/>
      </rPr>
      <t>)</t>
    </r>
  </si>
  <si>
    <r>
      <t>Vermeidungsfaktor</t>
    </r>
    <r>
      <rPr>
        <i/>
        <sz val="11"/>
        <rFont val="Times New Roman"/>
        <family val="1"/>
      </rPr>
      <t xml:space="preserve"> (E</t>
    </r>
    <r>
      <rPr>
        <i/>
        <vertAlign val="subscript"/>
        <sz val="11"/>
        <rFont val="Times New Roman"/>
        <family val="1"/>
      </rPr>
      <t>verm,tat</t>
    </r>
    <r>
      <rPr>
        <i/>
        <sz val="11"/>
        <rFont val="Times New Roman"/>
        <family val="1"/>
      </rPr>
      <t xml:space="preserve"> / E</t>
    </r>
    <r>
      <rPr>
        <i/>
        <vertAlign val="subscript"/>
        <sz val="11"/>
        <rFont val="Times New Roman"/>
        <family val="1"/>
      </rPr>
      <t>eingespeist</t>
    </r>
    <r>
      <rPr>
        <i/>
        <sz val="11"/>
        <rFont val="Times New Roman"/>
        <family val="1"/>
      </rPr>
      <t>)</t>
    </r>
  </si>
  <si>
    <t>Glossar</t>
  </si>
  <si>
    <t>Bezug</t>
  </si>
  <si>
    <t>Rückspeisung</t>
  </si>
  <si>
    <t>vorgelagertes Netz</t>
  </si>
  <si>
    <r>
      <t xml:space="preserve">Einspeisung </t>
    </r>
    <r>
      <rPr>
        <u/>
        <sz val="11"/>
        <color theme="1"/>
        <rFont val="Times New Roman"/>
        <family val="1"/>
      </rPr>
      <t>von</t>
    </r>
    <r>
      <rPr>
        <sz val="11"/>
        <color theme="1"/>
        <rFont val="Times New Roman"/>
        <family val="1"/>
      </rPr>
      <t xml:space="preserve"> einem vorgelagerten Netz</t>
    </r>
  </si>
  <si>
    <t>Netz auf gleicher oder höherer Ebene, das (über mehrere Netze) mit der höchsten Ebene verbunden ist</t>
  </si>
  <si>
    <r>
      <t xml:space="preserve">Einspeisung </t>
    </r>
    <r>
      <rPr>
        <u/>
        <sz val="11"/>
        <color theme="1"/>
        <rFont val="Times New Roman"/>
        <family val="1"/>
      </rPr>
      <t>in</t>
    </r>
    <r>
      <rPr>
        <sz val="11"/>
        <color theme="1"/>
        <rFont val="Times New Roman"/>
        <family val="1"/>
      </rPr>
      <t xml:space="preserve"> ein vorgelagertes Netz (Sicht der Ebene, in die eingespeist wird)</t>
    </r>
  </si>
  <si>
    <r>
      <t>verlustbehaftete maximale Entnahmelast (= Entnahmelast zum Zeitpunkt</t>
    </r>
    <r>
      <rPr>
        <i/>
        <sz val="11"/>
        <rFont val="Times New Roman"/>
        <family val="1"/>
      </rPr>
      <t xml:space="preserve"> t</t>
    </r>
    <r>
      <rPr>
        <i/>
        <vertAlign val="subscript"/>
        <sz val="11"/>
        <rFont val="Times New Roman"/>
        <family val="1"/>
      </rPr>
      <t>E</t>
    </r>
    <r>
      <rPr>
        <sz val="11"/>
        <rFont val="Times New Roman"/>
        <family val="1"/>
      </rPr>
      <t>)</t>
    </r>
  </si>
  <si>
    <r>
      <t xml:space="preserve">verlustbehaftete maximale Entnahmelast (= Entnahmelast zum Zeitpunkt </t>
    </r>
    <r>
      <rPr>
        <i/>
        <sz val="11"/>
        <rFont val="Times New Roman"/>
        <family val="1"/>
      </rPr>
      <t>t</t>
    </r>
    <r>
      <rPr>
        <i/>
        <vertAlign val="subscript"/>
        <sz val="11"/>
        <rFont val="Times New Roman"/>
        <family val="1"/>
      </rPr>
      <t>E</t>
    </r>
    <r>
      <rPr>
        <sz val="11"/>
        <rFont val="Times New Roman"/>
        <family val="1"/>
      </rPr>
      <t>)</t>
    </r>
  </si>
  <si>
    <r>
      <t>P</t>
    </r>
    <r>
      <rPr>
        <i/>
        <vertAlign val="subscript"/>
        <sz val="11"/>
        <rFont val="Times New Roman"/>
        <family val="1"/>
      </rPr>
      <t>A,tE</t>
    </r>
  </si>
  <si>
    <r>
      <t xml:space="preserve">Last aus dezentralen Einspeisungen und Rückspeisungen zum Zeitpunkt </t>
    </r>
    <r>
      <rPr>
        <i/>
        <sz val="11"/>
        <rFont val="Times New Roman"/>
        <family val="1"/>
      </rPr>
      <t>t</t>
    </r>
    <r>
      <rPr>
        <i/>
        <vertAlign val="subscript"/>
        <sz val="11"/>
        <rFont val="Times New Roman"/>
        <family val="1"/>
      </rPr>
      <t>E</t>
    </r>
  </si>
  <si>
    <r>
      <t>P</t>
    </r>
    <r>
      <rPr>
        <i/>
        <vertAlign val="subscript"/>
        <sz val="11"/>
        <rFont val="Times New Roman"/>
        <family val="1"/>
      </rPr>
      <t>D,tE</t>
    </r>
    <r>
      <rPr>
        <i/>
        <sz val="11"/>
        <rFont val="Times New Roman"/>
        <family val="1"/>
      </rPr>
      <t xml:space="preserve"> + P</t>
    </r>
    <r>
      <rPr>
        <i/>
        <vertAlign val="subscript"/>
        <sz val="11"/>
        <rFont val="Times New Roman"/>
        <family val="1"/>
      </rPr>
      <t>R,tE</t>
    </r>
  </si>
  <si>
    <r>
      <t>P</t>
    </r>
    <r>
      <rPr>
        <i/>
        <vertAlign val="subscript"/>
        <sz val="11"/>
        <rFont val="Times New Roman"/>
        <family val="1"/>
      </rPr>
      <t>D,tE</t>
    </r>
  </si>
  <si>
    <r>
      <t>Last aus dezentralen Einspeisungen zum Zeitpunkt</t>
    </r>
    <r>
      <rPr>
        <i/>
        <sz val="11"/>
        <rFont val="Times New Roman"/>
        <family val="1"/>
      </rPr>
      <t xml:space="preserve"> t</t>
    </r>
    <r>
      <rPr>
        <i/>
        <vertAlign val="subscript"/>
        <sz val="11"/>
        <rFont val="Times New Roman"/>
        <family val="1"/>
      </rPr>
      <t>E</t>
    </r>
  </si>
  <si>
    <r>
      <t>P</t>
    </r>
    <r>
      <rPr>
        <i/>
        <vertAlign val="subscript"/>
        <sz val="11"/>
        <rFont val="Times New Roman"/>
        <family val="1"/>
      </rPr>
      <t>R,tE</t>
    </r>
  </si>
  <si>
    <r>
      <t xml:space="preserve">Last aus Rückspeisungen zum Zeitpunkt </t>
    </r>
    <r>
      <rPr>
        <i/>
        <sz val="11"/>
        <rFont val="Times New Roman"/>
        <family val="1"/>
      </rPr>
      <t>t</t>
    </r>
    <r>
      <rPr>
        <i/>
        <vertAlign val="subscript"/>
        <sz val="11"/>
        <rFont val="Times New Roman"/>
        <family val="1"/>
      </rPr>
      <t>E</t>
    </r>
  </si>
  <si>
    <r>
      <t>P</t>
    </r>
    <r>
      <rPr>
        <i/>
        <vertAlign val="subscript"/>
        <sz val="11"/>
        <rFont val="Times New Roman"/>
        <family val="1"/>
      </rPr>
      <t>D,tE</t>
    </r>
    <r>
      <rPr>
        <i/>
        <sz val="11"/>
        <rFont val="Times New Roman"/>
        <family val="1"/>
      </rPr>
      <t xml:space="preserve"> + P</t>
    </r>
    <r>
      <rPr>
        <i/>
        <vertAlign val="subscript"/>
        <sz val="11"/>
        <rFont val="Times New Roman"/>
        <family val="1"/>
      </rPr>
      <t xml:space="preserve">R,tE </t>
    </r>
    <r>
      <rPr>
        <i/>
        <sz val="11"/>
        <rFont val="Wingdings"/>
        <charset val="2"/>
      </rPr>
      <t>é</t>
    </r>
  </si>
  <si>
    <r>
      <t>Skalierungsfaktor</t>
    </r>
    <r>
      <rPr>
        <i/>
        <sz val="11"/>
        <rFont val="Times New Roman"/>
        <family val="1"/>
      </rPr>
      <t xml:space="preserve"> (P</t>
    </r>
    <r>
      <rPr>
        <i/>
        <vertAlign val="subscript"/>
        <sz val="11"/>
        <rFont val="Times New Roman"/>
        <family val="1"/>
      </rPr>
      <t>verm,tat</t>
    </r>
    <r>
      <rPr>
        <i/>
        <sz val="11"/>
        <rFont val="Times New Roman"/>
        <family val="1"/>
      </rPr>
      <t xml:space="preserve"> / (P</t>
    </r>
    <r>
      <rPr>
        <i/>
        <vertAlign val="subscript"/>
        <sz val="11"/>
        <rFont val="Times New Roman"/>
        <family val="1"/>
      </rPr>
      <t>D,tE</t>
    </r>
    <r>
      <rPr>
        <i/>
        <sz val="11"/>
        <rFont val="Times New Roman"/>
        <family val="1"/>
      </rPr>
      <t xml:space="preserve"> + P</t>
    </r>
    <r>
      <rPr>
        <i/>
        <vertAlign val="subscript"/>
        <sz val="11"/>
        <rFont val="Times New Roman"/>
        <family val="1"/>
      </rPr>
      <t>R,tE</t>
    </r>
    <r>
      <rPr>
        <i/>
        <sz val="11"/>
        <rFont val="Times New Roman"/>
        <family val="1"/>
      </rPr>
      <t>))</t>
    </r>
  </si>
  <si>
    <r>
      <t>P</t>
    </r>
    <r>
      <rPr>
        <i/>
        <vertAlign val="subscript"/>
        <sz val="11"/>
        <color theme="1"/>
        <rFont val="Times New Roman"/>
        <family val="1"/>
      </rPr>
      <t>A</t>
    </r>
  </si>
  <si>
    <t>Bezugslastgang</t>
  </si>
  <si>
    <r>
      <t>P</t>
    </r>
    <r>
      <rPr>
        <i/>
        <vertAlign val="subscript"/>
        <sz val="11"/>
        <rFont val="Times New Roman"/>
        <family val="1"/>
      </rPr>
      <t>B</t>
    </r>
  </si>
  <si>
    <r>
      <t>P</t>
    </r>
    <r>
      <rPr>
        <i/>
        <vertAlign val="subscript"/>
        <sz val="11"/>
        <rFont val="Times New Roman"/>
        <family val="1"/>
      </rPr>
      <t>D</t>
    </r>
  </si>
  <si>
    <t>Lastgang der dezentralen Einspeisungen</t>
  </si>
  <si>
    <t>verlustbehafteter Entnahmelastgang</t>
  </si>
  <si>
    <r>
      <t>P</t>
    </r>
    <r>
      <rPr>
        <i/>
        <vertAlign val="subscript"/>
        <sz val="11"/>
        <rFont val="Times New Roman"/>
        <family val="1"/>
      </rPr>
      <t>E</t>
    </r>
  </si>
  <si>
    <t>Rückspeiselastgang</t>
  </si>
  <si>
    <r>
      <t>P</t>
    </r>
    <r>
      <rPr>
        <i/>
        <vertAlign val="subscript"/>
        <sz val="11"/>
        <rFont val="Times New Roman"/>
        <family val="1"/>
      </rPr>
      <t>R</t>
    </r>
  </si>
  <si>
    <t>dezE</t>
  </si>
  <si>
    <t>dezentrale Einspeisungen</t>
  </si>
  <si>
    <t>Überspeisungen
in die eigene
vorgelagerte 
Ebene</t>
  </si>
  <si>
    <t>Überspeisungen
in fremde
Netze</t>
  </si>
  <si>
    <t>Überspeisung</t>
  </si>
  <si>
    <r>
      <t xml:space="preserve">Einspeisung </t>
    </r>
    <r>
      <rPr>
        <u/>
        <sz val="11"/>
        <color theme="1"/>
        <rFont val="Times New Roman"/>
        <family val="1"/>
      </rPr>
      <t>in</t>
    </r>
    <r>
      <rPr>
        <sz val="11"/>
        <color theme="1"/>
        <rFont val="Times New Roman"/>
        <family val="1"/>
      </rPr>
      <t xml:space="preserve"> ein vorgelagertes Netz (Sicht der ausspeisendenen Ebene)</t>
    </r>
  </si>
  <si>
    <t>- Lastgänge Überspeisung aus NE5 in die eigene NE4</t>
  </si>
  <si>
    <t>- Lastgänge Überspeisung aus NE5 in fremde Netze</t>
  </si>
  <si>
    <t>- Lastgänge Überspeisungen aus NE6 in fremde Netze</t>
  </si>
  <si>
    <t>- Lastgänge Überspeisung aus NE7 in fremde Netze</t>
  </si>
  <si>
    <t>Überspeisung (=Rückspeisung) in die eigene vorgelagerte Ebene</t>
  </si>
  <si>
    <t>Überspeisung (=Rückspeisung) in fremde Netze</t>
  </si>
  <si>
    <t>Lastgänge Überspeisung aus NE6 in eigene NE5, Lastgänge Rückspeisung in NE5 aus eigener NE6</t>
  </si>
  <si>
    <t>Lastgänge Überspeisung aus NE7 in eigene NE6, Lastgänge Rückspeisung in NE6 aus eigener NE7</t>
  </si>
  <si>
    <t>Überspeiselastgang</t>
  </si>
  <si>
    <r>
      <t>B</t>
    </r>
    <r>
      <rPr>
        <i/>
        <vertAlign val="subscript"/>
        <sz val="11"/>
        <color theme="1"/>
        <rFont val="Times New Roman"/>
        <family val="1"/>
      </rPr>
      <t>eN</t>
    </r>
  </si>
  <si>
    <t>Es liegen üblicherweise keine Messwerte vor</t>
  </si>
  <si>
    <t>+ Lastgänge der dez. Einspeisungen in NE7 aus nicht leistungsgemessenen Erzeugungsanlagen (Schätzung)</t>
  </si>
  <si>
    <t>- Lastgänge Abgabe aus NE7 an leistungsgemessene Letztverbraucher</t>
  </si>
  <si>
    <r>
      <t xml:space="preserve">Überspeiselast zum Zeitpunkt </t>
    </r>
    <r>
      <rPr>
        <i/>
        <sz val="11"/>
        <rFont val="Times New Roman"/>
        <family val="1"/>
      </rPr>
      <t>t</t>
    </r>
    <r>
      <rPr>
        <i/>
        <vertAlign val="subscript"/>
        <sz val="11"/>
        <rFont val="Times New Roman"/>
        <family val="1"/>
      </rPr>
      <t>E</t>
    </r>
  </si>
  <si>
    <t>Anzahl der Anteilsfaktoren</t>
  </si>
  <si>
    <t>Anteilsfaktor leistungsgemessene Einspeiser</t>
  </si>
  <si>
    <t>Anteilsfaktor nicht leistungsgemessene Einspeiser</t>
  </si>
  <si>
    <t>nicht leistungsgemessene Einspeiser</t>
  </si>
  <si>
    <t>leistungsgemessene Einspeiser mit IST-Bewertung</t>
  </si>
  <si>
    <t>leistungsgemessene Einspeiser mit verstetigter Bewertung</t>
  </si>
  <si>
    <r>
      <t>a</t>
    </r>
    <r>
      <rPr>
        <i/>
        <vertAlign val="superscript"/>
        <sz val="11"/>
        <rFont val="Times New Roman"/>
        <family val="1"/>
      </rPr>
      <t>L</t>
    </r>
  </si>
  <si>
    <r>
      <t>a</t>
    </r>
    <r>
      <rPr>
        <i/>
        <vertAlign val="superscript"/>
        <sz val="11"/>
        <rFont val="Times New Roman"/>
        <family val="1"/>
      </rPr>
      <t>nL</t>
    </r>
  </si>
  <si>
    <t>Veranschaulichung der Anteilsfaktoren</t>
  </si>
  <si>
    <t>Anteilsfaktor verstetigte Leistung</t>
  </si>
  <si>
    <r>
      <t>a</t>
    </r>
    <r>
      <rPr>
        <i/>
        <vertAlign val="superscript"/>
        <sz val="11"/>
        <color theme="1"/>
        <rFont val="Times New Roman"/>
        <family val="1"/>
      </rPr>
      <t>L</t>
    </r>
  </si>
  <si>
    <r>
      <t>a</t>
    </r>
    <r>
      <rPr>
        <i/>
        <vertAlign val="superscript"/>
        <sz val="11"/>
        <color theme="1"/>
        <rFont val="Times New Roman"/>
        <family val="1"/>
      </rPr>
      <t>nL</t>
    </r>
  </si>
  <si>
    <t>Anteilsfaktor für leistungsgemessene Rückspeisungen mit verstetigter Bewertung und leistungsgemessene dezentrale Erzeugungsanlagen mit verstetigter Bewertung</t>
  </si>
  <si>
    <t>Anteilsfaktor für nicht leistungsgemessene Rückspeisungen mit verstetigter Bewertung und nicht leistungsgemessene dezentrale Erzeugungsanlagen mit verstetigter Bewertung</t>
  </si>
  <si>
    <r>
      <t>P</t>
    </r>
    <r>
      <rPr>
        <i/>
        <vertAlign val="superscript"/>
        <sz val="11"/>
        <rFont val="Times New Roman"/>
        <family val="1"/>
      </rPr>
      <t>L</t>
    </r>
    <r>
      <rPr>
        <i/>
        <vertAlign val="subscript"/>
        <sz val="11"/>
        <rFont val="Times New Roman"/>
        <family val="1"/>
      </rPr>
      <t>i,tE</t>
    </r>
  </si>
  <si>
    <r>
      <t>P</t>
    </r>
    <r>
      <rPr>
        <i/>
        <vertAlign val="superscript"/>
        <sz val="11"/>
        <rFont val="Times New Roman"/>
        <family val="1"/>
      </rPr>
      <t>L</t>
    </r>
    <r>
      <rPr>
        <i/>
        <vertAlign val="subscript"/>
        <sz val="11"/>
        <rFont val="Times New Roman"/>
        <family val="1"/>
      </rPr>
      <t>v,tE</t>
    </r>
  </si>
  <si>
    <r>
      <t>P</t>
    </r>
    <r>
      <rPr>
        <i/>
        <vertAlign val="superscript"/>
        <sz val="11"/>
        <rFont val="Times New Roman"/>
        <family val="1"/>
      </rPr>
      <t>nL</t>
    </r>
    <r>
      <rPr>
        <i/>
        <vertAlign val="subscript"/>
        <sz val="11"/>
        <rFont val="Times New Roman"/>
        <family val="1"/>
      </rPr>
      <t>v,tE</t>
    </r>
  </si>
  <si>
    <r>
      <t xml:space="preserve">Leistung der leistungsgemessenen Einspeiser mit verstetigter Bewertung zum Zeitpunkt </t>
    </r>
    <r>
      <rPr>
        <i/>
        <sz val="11"/>
        <rFont val="Times New Roman"/>
        <family val="1"/>
      </rPr>
      <t>t</t>
    </r>
    <r>
      <rPr>
        <i/>
        <vertAlign val="subscript"/>
        <sz val="11"/>
        <rFont val="Times New Roman"/>
        <family val="1"/>
      </rPr>
      <t>E</t>
    </r>
  </si>
  <si>
    <r>
      <t>Leistung</t>
    </r>
    <r>
      <rPr>
        <i/>
        <sz val="11"/>
        <rFont val="Times New Roman"/>
        <family val="1"/>
      </rPr>
      <t xml:space="preserve"> </t>
    </r>
    <r>
      <rPr>
        <sz val="11"/>
        <rFont val="Times New Roman"/>
        <family val="1"/>
      </rPr>
      <t xml:space="preserve">der leistungsgemessenen Einspeiser mit IST-Bewertung zum Zeitpunkt </t>
    </r>
    <r>
      <rPr>
        <i/>
        <sz val="11"/>
        <rFont val="Times New Roman"/>
        <family val="1"/>
      </rPr>
      <t>t</t>
    </r>
    <r>
      <rPr>
        <i/>
        <vertAlign val="subscript"/>
        <sz val="11"/>
        <rFont val="Times New Roman"/>
        <family val="1"/>
      </rPr>
      <t>E</t>
    </r>
  </si>
  <si>
    <r>
      <t xml:space="preserve">Leistung der nicht leistungsgemessenen Einspeiser zum Zeitpunkt </t>
    </r>
    <r>
      <rPr>
        <i/>
        <sz val="11"/>
        <rFont val="Times New Roman"/>
        <family val="1"/>
      </rPr>
      <t>t</t>
    </r>
    <r>
      <rPr>
        <i/>
        <vertAlign val="subscript"/>
        <sz val="11"/>
        <rFont val="Times New Roman"/>
        <family val="1"/>
      </rPr>
      <t>E</t>
    </r>
    <r>
      <rPr>
        <sz val="11"/>
        <rFont val="Times New Roman"/>
        <family val="1"/>
      </rPr>
      <t xml:space="preserve"> </t>
    </r>
  </si>
  <si>
    <r>
      <t>P</t>
    </r>
    <r>
      <rPr>
        <i/>
        <vertAlign val="superscript"/>
        <sz val="11"/>
        <rFont val="Times New Roman"/>
        <family val="1"/>
      </rPr>
      <t>L</t>
    </r>
    <r>
      <rPr>
        <i/>
        <vertAlign val="subscript"/>
        <sz val="11"/>
        <rFont val="Times New Roman"/>
        <family val="1"/>
      </rPr>
      <t>v</t>
    </r>
  </si>
  <si>
    <r>
      <t>P</t>
    </r>
    <r>
      <rPr>
        <i/>
        <vertAlign val="superscript"/>
        <sz val="11"/>
        <rFont val="Times New Roman"/>
        <family val="1"/>
      </rPr>
      <t>nL</t>
    </r>
    <r>
      <rPr>
        <i/>
        <vertAlign val="subscript"/>
        <sz val="11"/>
        <rFont val="Times New Roman"/>
        <family val="1"/>
      </rPr>
      <t>v</t>
    </r>
  </si>
  <si>
    <t>verstetigte Leistung der nicht leistungsgemessenen Einspeiser</t>
  </si>
  <si>
    <t>verstetigte Leistung der leistungsgemessenen Einspeiser mit verstetigter Bewertung</t>
  </si>
  <si>
    <t>Rückspeisevergütungen</t>
  </si>
  <si>
    <t>vermNE
Gesamt
lt. Tool</t>
  </si>
  <si>
    <t>vermNE
Gesamt 
lt. Tool</t>
  </si>
  <si>
    <t>lt. Tool</t>
  </si>
  <si>
    <t>Gesamt ohne Rückspeisemengen</t>
  </si>
  <si>
    <t>Zwischensumme</t>
  </si>
  <si>
    <t>RSV</t>
  </si>
  <si>
    <t>- (extern + intern) erhaltene RSV</t>
  </si>
  <si>
    <t>erhaltene
RSV</t>
  </si>
  <si>
    <t>vermNE
vor RSV
lt. Tool</t>
  </si>
  <si>
    <t>- erhaltene
RSV
Arbeit</t>
  </si>
  <si>
    <t>- erhaltene
RSV
Leistung</t>
  </si>
  <si>
    <t>Rückspeisevergütung bzw. Rückspeiseverrechnung</t>
  </si>
  <si>
    <t>vermNE
lt. Tool
Arbeit</t>
  </si>
  <si>
    <t>vermNE
lt. Tool
Leistung</t>
  </si>
  <si>
    <t>nkwB</t>
  </si>
  <si>
    <t>nicht kostenwirksamer Betrag</t>
  </si>
  <si>
    <t>Nicht kostenwirksamer Betrag (nkwB)</t>
  </si>
  <si>
    <t>fremde Netze (z. B. Weiterverteiler)</t>
  </si>
  <si>
    <t>vermNE
Arbeit
ohne Rückspeisung</t>
  </si>
  <si>
    <t>vermNE 
Leistung
ohne Rückspeisung</t>
  </si>
  <si>
    <t>vermNE
Arbeit
Rückspeisung</t>
  </si>
  <si>
    <t>vermNE
Leistung
Rückspeisung</t>
  </si>
  <si>
    <t>vermNE
Arbeit
gesamt</t>
  </si>
  <si>
    <t>vermNE
Leistung
gesamt</t>
  </si>
  <si>
    <t>Zeitpunkt, an dem die Daten ausgewertet wurden</t>
  </si>
  <si>
    <t>Spalte1</t>
  </si>
  <si>
    <t>Spalte2</t>
  </si>
  <si>
    <t>Spalte3</t>
  </si>
  <si>
    <t>Spalte4</t>
  </si>
  <si>
    <t>Spalte5</t>
  </si>
  <si>
    <t>Spalte6</t>
  </si>
  <si>
    <t>Spalte9</t>
  </si>
  <si>
    <t>Spalte10</t>
  </si>
  <si>
    <t>Spalte11</t>
  </si>
  <si>
    <t>Spalte12</t>
  </si>
  <si>
    <t>Spalte13</t>
  </si>
  <si>
    <t>Spalte14</t>
  </si>
  <si>
    <t>Spalte15</t>
  </si>
  <si>
    <t>Spalte16</t>
  </si>
  <si>
    <t>Spalte17</t>
  </si>
  <si>
    <t>Spalte18</t>
  </si>
  <si>
    <t>Spalte19</t>
  </si>
  <si>
    <t>Spalte20</t>
  </si>
  <si>
    <t>NE4</t>
  </si>
  <si>
    <t>NE3</t>
  </si>
  <si>
    <t>HS</t>
  </si>
  <si>
    <t>Hochspannung</t>
  </si>
  <si>
    <t>Nicht kosten-
wirksamer Betrag
(nkwB)</t>
  </si>
  <si>
    <r>
      <t xml:space="preserve">verlustbehaftete Entnahmelast zum Zeitpunkt </t>
    </r>
    <r>
      <rPr>
        <i/>
        <sz val="11"/>
        <rFont val="Times New Roman"/>
        <family val="1"/>
      </rPr>
      <t>t</t>
    </r>
    <r>
      <rPr>
        <i/>
        <vertAlign val="subscript"/>
        <sz val="11"/>
        <rFont val="Times New Roman"/>
        <family val="1"/>
      </rPr>
      <t>E,vNE</t>
    </r>
    <r>
      <rPr>
        <sz val="11"/>
        <rFont val="Times New Roman"/>
        <family val="1"/>
      </rPr>
      <t>)</t>
    </r>
  </si>
  <si>
    <r>
      <t xml:space="preserve">Überspeiselast zum Zeitpunkt </t>
    </r>
    <r>
      <rPr>
        <i/>
        <sz val="11"/>
        <rFont val="Times New Roman"/>
        <family val="1"/>
      </rPr>
      <t>t</t>
    </r>
    <r>
      <rPr>
        <i/>
        <vertAlign val="subscript"/>
        <sz val="11"/>
        <rFont val="Times New Roman"/>
        <family val="1"/>
      </rPr>
      <t>E,vNE</t>
    </r>
  </si>
  <si>
    <r>
      <t>t</t>
    </r>
    <r>
      <rPr>
        <i/>
        <vertAlign val="subscript"/>
        <sz val="11"/>
        <rFont val="Times New Roman"/>
        <family val="1"/>
      </rPr>
      <t>E,vNE</t>
    </r>
  </si>
  <si>
    <r>
      <t>P</t>
    </r>
    <r>
      <rPr>
        <i/>
        <vertAlign val="subscript"/>
        <sz val="11"/>
        <rFont val="Times New Roman"/>
        <family val="1"/>
      </rPr>
      <t>E,tE,vNE</t>
    </r>
  </si>
  <si>
    <r>
      <t>P</t>
    </r>
    <r>
      <rPr>
        <i/>
        <vertAlign val="subscript"/>
        <sz val="11"/>
        <rFont val="Times New Roman"/>
        <family val="1"/>
      </rPr>
      <t>A,tE,vNE</t>
    </r>
  </si>
  <si>
    <r>
      <rPr>
        <i/>
        <sz val="11"/>
        <rFont val="Times New Roman"/>
        <family val="1"/>
      </rPr>
      <t xml:space="preserve">Bemerkung: </t>
    </r>
    <r>
      <rPr>
        <sz val="11"/>
        <rFont val="Times New Roman"/>
        <family val="1"/>
      </rPr>
      <t xml:space="preserve">
In diesem Tool wird unterstellt, dass der Netzbetreiber die erhaltene Vergütung/Verrechnung für die Rückspeisung soweit als möglich an die Einspeiser weiter gibt. Sollte der Netzbetreiber diesen Betrag nicht an die Einspeiser weitergeben, sind die in der Zusammenfassung anzugebenden tatsächlich gezahlten vermNE niedriger als die vermNE nach diesem Tool, so dass im Prüfungsergebnis nur die tatsächlich gezahlten vermNE berücksichtigt werden.
Erhaltene externe und interne Rückspeisevergütungen bzw. -verrechnungen werden in diesem Tool in der Zusammenfassung bei den vermNE kostenmindernd berücksichtigt. Demgegenüber wurden in der Praxis erhaltene externe Rückspeisevergütungen hin und wieder bei den vorgelagerten Netzkosten abgezogen.</t>
    </r>
  </si>
  <si>
    <r>
      <t>a</t>
    </r>
    <r>
      <rPr>
        <i/>
        <vertAlign val="superscript"/>
        <sz val="11"/>
        <rFont val="Times New Roman"/>
        <family val="1"/>
      </rPr>
      <t>L,R</t>
    </r>
  </si>
  <si>
    <r>
      <t>a</t>
    </r>
    <r>
      <rPr>
        <i/>
        <vertAlign val="superscript"/>
        <sz val="11"/>
        <rFont val="Times New Roman"/>
        <family val="1"/>
      </rPr>
      <t>nL,R</t>
    </r>
  </si>
  <si>
    <r>
      <t xml:space="preserve">Bezugslast zum Zeitpunkt </t>
    </r>
    <r>
      <rPr>
        <i/>
        <sz val="11"/>
        <rFont val="Times New Roman"/>
        <family val="1"/>
      </rPr>
      <t>t</t>
    </r>
    <r>
      <rPr>
        <i/>
        <vertAlign val="subscript"/>
        <sz val="11"/>
        <rFont val="Times New Roman"/>
        <family val="1"/>
      </rPr>
      <t>E,vNE</t>
    </r>
  </si>
  <si>
    <r>
      <t>P</t>
    </r>
    <r>
      <rPr>
        <i/>
        <vertAlign val="subscript"/>
        <sz val="11"/>
        <rFont val="Times New Roman"/>
        <family val="1"/>
      </rPr>
      <t>B,tE,vNE</t>
    </r>
  </si>
  <si>
    <r>
      <t xml:space="preserve">Anteilsfaktor für leistungsgemessene Rückspeisungen mit verstetigter Bewertung und leistungsgemessene dezentrale Erzeugungsanlagen mit verstetigter Bewertung zum Zeitpunkt </t>
    </r>
    <r>
      <rPr>
        <i/>
        <sz val="11"/>
        <rFont val="Times New Roman"/>
        <family val="1"/>
      </rPr>
      <t>t</t>
    </r>
    <r>
      <rPr>
        <i/>
        <vertAlign val="subscript"/>
        <sz val="11"/>
        <rFont val="Times New Roman"/>
        <family val="1"/>
      </rPr>
      <t>E,vNE</t>
    </r>
    <r>
      <rPr>
        <sz val="11"/>
        <rFont val="Times New Roman"/>
        <family val="1"/>
      </rPr>
      <t xml:space="preserve"> für die Rückspeisung</t>
    </r>
  </si>
  <si>
    <r>
      <t>Anteilsfaktor für nicht leistungsgemessene Rückspeisungen mit verstetigter Bewertung und nicht leistungsgemessene dezentrale Erzeugungsanlagen mit verstetigter Bewertung zum Zeitpunkt</t>
    </r>
    <r>
      <rPr>
        <i/>
        <sz val="11"/>
        <rFont val="Times New Roman"/>
        <family val="1"/>
      </rPr>
      <t xml:space="preserve"> t</t>
    </r>
    <r>
      <rPr>
        <i/>
        <vertAlign val="subscript"/>
        <sz val="11"/>
        <rFont val="Times New Roman"/>
        <family val="1"/>
      </rPr>
      <t>E,vNE</t>
    </r>
    <r>
      <rPr>
        <sz val="11"/>
        <rFont val="Times New Roman"/>
        <family val="1"/>
      </rPr>
      <t xml:space="preserve"> für die Rückspeisung</t>
    </r>
  </si>
  <si>
    <t>HM</t>
  </si>
  <si>
    <t>MN</t>
  </si>
  <si>
    <t>Schlüssel 2</t>
  </si>
  <si>
    <t>Erhaltene Vergütung für die Rückspeisung in ein fremdes Netz (Externe RSV)</t>
  </si>
  <si>
    <t>Erhaltene Verrechnung für die Rückspeisung in die eigene vorgelagerte Netzebene (Interne RSV)</t>
  </si>
  <si>
    <t>Erhaltene RSV</t>
  </si>
  <si>
    <t>davon beim Netzbetreiber verbleibende RSV</t>
  </si>
  <si>
    <t>davon an Einspeiser weitergegebene RSV</t>
  </si>
  <si>
    <t>noch einzutragen</t>
  </si>
  <si>
    <t>In diese Zelle kann und darf nichts eingegeben werden.</t>
  </si>
  <si>
    <t>vermNE
lt. EEG-Testat bzw.
lt. Rechnungsgutschrift 
(Zahlungen)</t>
  </si>
  <si>
    <r>
      <rPr>
        <b/>
        <sz val="11"/>
        <rFont val="Times New Roman"/>
        <family val="1"/>
      </rPr>
      <t>vermNE
lt. Prüfung</t>
    </r>
    <r>
      <rPr>
        <sz val="11"/>
        <rFont val="Times New Roman"/>
        <family val="1"/>
      </rPr>
      <t xml:space="preserve">
Min(Tool; Zahlungen)</t>
    </r>
  </si>
  <si>
    <r>
      <t>P</t>
    </r>
    <r>
      <rPr>
        <i/>
        <vertAlign val="superscript"/>
        <sz val="11"/>
        <rFont val="Times New Roman"/>
        <family val="1"/>
      </rPr>
      <t>k</t>
    </r>
    <r>
      <rPr>
        <i/>
        <vertAlign val="subscript"/>
        <sz val="11"/>
        <rFont val="Times New Roman"/>
        <family val="1"/>
      </rPr>
      <t>i,tE</t>
    </r>
  </si>
  <si>
    <r>
      <t>Leistung</t>
    </r>
    <r>
      <rPr>
        <i/>
        <sz val="11"/>
        <rFont val="Times New Roman"/>
        <family val="1"/>
      </rPr>
      <t xml:space="preserve"> </t>
    </r>
    <r>
      <rPr>
        <sz val="11"/>
        <rFont val="Times New Roman"/>
        <family val="1"/>
      </rPr>
      <t xml:space="preserve">des </t>
    </r>
    <r>
      <rPr>
        <i/>
        <sz val="11"/>
        <rFont val="Times New Roman"/>
        <family val="1"/>
      </rPr>
      <t>k</t>
    </r>
    <r>
      <rPr>
        <sz val="11"/>
        <rFont val="Times New Roman"/>
        <family val="1"/>
      </rPr>
      <t xml:space="preserve">-ten leistungsgemessenen Einspeiser mit IST-Bewertung zum Zeitpunkt </t>
    </r>
    <r>
      <rPr>
        <i/>
        <sz val="11"/>
        <rFont val="Times New Roman"/>
        <family val="1"/>
      </rPr>
      <t>t</t>
    </r>
    <r>
      <rPr>
        <i/>
        <vertAlign val="subscript"/>
        <sz val="11"/>
        <rFont val="Times New Roman"/>
        <family val="1"/>
      </rPr>
      <t>E</t>
    </r>
  </si>
  <si>
    <t>- Lastgänge Abgabe aus NE5 an Letztverbraucher</t>
  </si>
  <si>
    <t>- Lastgänge Abgabe aus NE5 an fremde Netze</t>
  </si>
  <si>
    <r>
      <t xml:space="preserve">Ausfüllhinweise:
</t>
    </r>
    <r>
      <rPr>
        <sz val="11"/>
        <color theme="1"/>
        <rFont val="Times New Roman"/>
        <family val="1"/>
      </rPr>
      <t>1. Sind die verlustbehaftete maximale Entnahmelast aus NE5, die maximale Bezugslast in NE5 und die jeweiligen Zeitpunkte bereits bekannt braucht dieses Register nicht ausgefüllt werden.</t>
    </r>
    <r>
      <rPr>
        <i/>
        <sz val="11"/>
        <color theme="1"/>
        <rFont val="Times New Roman"/>
        <family val="1"/>
      </rPr>
      <t xml:space="preserve">
</t>
    </r>
    <r>
      <rPr>
        <sz val="11"/>
        <color theme="1"/>
        <rFont val="Times New Roman"/>
        <family val="1"/>
      </rPr>
      <t>2. Zunächst wird in einer Nebenrechnung der Summenlastgang der Entnahmen aus NE5 inkl. Verluste nach dem unten aufgeführten Rechnenschema ermittelt. Danach kann der Zeitpunkt des Maximums des Summenlastgangs bestimmt werden. Abschließend können die Lastgänge zu diesem Zeitpunkt ausgewertet und die so gefundenen Werte in dieses Register übernommen werden.
3. Voraussetzung für die Anwendung dieses Rechenschema ist, dass zum Zeitpunkt der Jahreshöchstlast der NE5 entweder ein Bezug in NE6 von der eigenen NE5 oder eine Rückspeisung in NE5 aus eigener NE6 vorliegt.</t>
    </r>
  </si>
  <si>
    <r>
      <t xml:space="preserve">Ausfüllhinweise:
</t>
    </r>
    <r>
      <rPr>
        <sz val="11"/>
        <color theme="1"/>
        <rFont val="Times New Roman"/>
        <family val="1"/>
      </rPr>
      <t>1. Sind die verlustbehaftete maximale Entnahmelast aus NE6, die maximale Bezugslast in NE6 und die jeweiligen Zeitpunkte bereits bekannt braucht dieses Register nicht ausgefüllt werden.</t>
    </r>
    <r>
      <rPr>
        <i/>
        <sz val="11"/>
        <color theme="1"/>
        <rFont val="Times New Roman"/>
        <family val="1"/>
      </rPr>
      <t xml:space="preserve">
</t>
    </r>
    <r>
      <rPr>
        <sz val="11"/>
        <color theme="1"/>
        <rFont val="Times New Roman"/>
        <family val="1"/>
      </rPr>
      <t>2. Zunächst wird in einer Nebenrechnung der Summenlastgang der Entnahmen aus NE6 inkl. Verluste nach dem unten aufgeführten Rechnenschema ermittelt. Danach kann der Zeitpunkt des Maximums des Summenlastgangs bestimmt werden. Abschließend können die Lastgänge zu diesem Zeitpunkt ausgewertet und die so gefundenen Werte in dieses Register übernommen werden.
3. Voraussetzung für die Anwendung dieses Rechenschema ist, dass zum Zeitpunkt der Jahreshöchstlast der NE6 
- entweder ein Bezug in NE6 von der eigenen NE5 oder eine Rückspeisung in NE5 aus eigener NE6 und
- entweder ein Bezug in NE7 von der eigenen NE6 oder eine Rückspeisung in NE6 aus eigener NE7 vorliegt.</t>
    </r>
  </si>
  <si>
    <r>
      <t xml:space="preserve">Ausfüllhinweise:
</t>
    </r>
    <r>
      <rPr>
        <sz val="11"/>
        <color theme="1"/>
        <rFont val="Times New Roman"/>
        <family val="1"/>
      </rPr>
      <t>1. Sind die verlustbehaftete maximale Entnahmelast aus NE7, die maximale Bezugslast in NE7 und die jeweiligen Zeitpunkte bereits bekannt braucht dieses Register nicht ausgefüllt werden.</t>
    </r>
    <r>
      <rPr>
        <i/>
        <sz val="11"/>
        <color theme="1"/>
        <rFont val="Times New Roman"/>
        <family val="1"/>
      </rPr>
      <t xml:space="preserve">
</t>
    </r>
    <r>
      <rPr>
        <sz val="11"/>
        <color theme="1"/>
        <rFont val="Times New Roman"/>
        <family val="1"/>
      </rPr>
      <t>2. Zunächst wird in einer Nebenrechnung der Summenlastgang der Entnahmen aus NE7 inkl. Verluste nach dem unten aufgeführten Rechnenschema ermittelt. Danach kann der Zeitpunkt des Maximums des Summenlastgangs bestimmt werden. Abschließend können die Lastgänge zu diesem Zeitpunkt ausgewertet und die so gefundenen Werte in dieses Register übernommen werden.
3. Voraussetzung für die Anwendung dieses Rechenschema ist, dass zum Zeitpunkt der Jahreshöchstlast der NE7 
- entweder ein Bezug in NE6 von der eigenen NE5 oder eine Rückspeisung in NE5 aus eigener NE6 und
- entweder ein Bezug in NE7 von der eigenen NE6 oder eine Rückspeisung in NE6 aus eigener NE7 vorliegt.</t>
    </r>
  </si>
  <si>
    <t>Der Wert der Zelle ist (noch) nicht plausibel. Bitte füllen Sie das Tool erst vollständig aus.</t>
  </si>
  <si>
    <t>EEG-vol</t>
  </si>
  <si>
    <t>EEG-nvol</t>
  </si>
  <si>
    <t>Schlüssel 1
gewichtete Arbeit</t>
  </si>
  <si>
    <t>Spalte21</t>
  </si>
  <si>
    <t>Spalte22</t>
  </si>
  <si>
    <t xml:space="preserve">Jahr der
Inbetriebnahme
</t>
  </si>
  <si>
    <t>Sonstige-vol</t>
  </si>
  <si>
    <t>Sonstige-nvol</t>
  </si>
  <si>
    <t xml:space="preserve">Das Register AF enthält einen Arbeitsfluss. Der Arbeitsfluss dient der Plausibilisierung und muss außerhalb dieses Tools ermittelt werden.
In den Registern JHL MS, JHL US und JHL NS, die optional verwendet werden können, findet sich ein Rechenschema zur Ermittlung der benötigten Jahreshöchstlast und der maximalen Bezugslast.
Die Register vermNE HS, vermNE HM, ..., vermNE NS sind das Herzstück dieses Tools und dienen der Ermittlung der vermiedenen Netzentgelte.
Das Register Bilder enthält zwei Grafiken, die das Verständnis der Ermittlung der vermiedenen Netzentgelte erleichtern sollen.
</t>
  </si>
  <si>
    <t>Referenzpreisblatt</t>
  </si>
  <si>
    <t>vermNE
ohne Rückspeisung
Referenz-
preisblatt</t>
  </si>
  <si>
    <t>Spalte23</t>
  </si>
  <si>
    <t>A</t>
  </si>
  <si>
    <t>R</t>
  </si>
  <si>
    <t>Preisblatt</t>
  </si>
  <si>
    <t>Bezeichnung</t>
  </si>
  <si>
    <t>Anlage, für die eine Vergütung nach dem EEG gezahlt wird, mit volatiler Erzeugung</t>
  </si>
  <si>
    <t>Anlage, für die eine Vergütung nach dem EEG gezahlt wird, nicht mit volatiler Erzeugung</t>
  </si>
  <si>
    <t>Anlage, für die eine Vergütung nach dem KWKG gezahlt wird</t>
  </si>
  <si>
    <t>Anlage, für die weder eine Vergütung nach dem EEG noch nach den KWKG gezahlt wird, mit volatiler Erzeugung</t>
  </si>
  <si>
    <t>Anlage, für die weder eine Vergütung nach dem EEG noch nach den KWKG gezahlt wird, mit nicht volatiler Erzeugung</t>
  </si>
  <si>
    <t>aktuelles Preisblatt (=Preisblatt für Kalkulationsjahr)</t>
  </si>
  <si>
    <t>Kalkulationsjahr</t>
  </si>
  <si>
    <t>Spalte24</t>
  </si>
  <si>
    <t>Spalte25</t>
  </si>
  <si>
    <t>Spalte26</t>
  </si>
  <si>
    <t>Spalte27</t>
  </si>
  <si>
    <t>Spalte28</t>
  </si>
  <si>
    <t>Spalte29</t>
  </si>
  <si>
    <t>Spalte30</t>
  </si>
  <si>
    <r>
      <t xml:space="preserve">maximale bezogene Arbeit </t>
    </r>
    <r>
      <rPr>
        <i/>
        <sz val="11"/>
        <rFont val="Times New Roman"/>
        <family val="1"/>
      </rPr>
      <t>(L + eN + fN)*(1+v)</t>
    </r>
  </si>
  <si>
    <t>USp. Hoch- / Mittelspannung (HS/MS)</t>
  </si>
  <si>
    <t>KWK-Anlagen</t>
  </si>
  <si>
    <t>Sonstige Anlagen</t>
  </si>
  <si>
    <t>Mittelspannung (MS)</t>
  </si>
  <si>
    <t>USp. Mittel- / Niederspannung (MS/NS)</t>
  </si>
  <si>
    <t>Niederspannung (NS )</t>
  </si>
  <si>
    <t>Hochspannung (HS)</t>
  </si>
  <si>
    <t>Ermittlung der Differenz für § 5 Abs. 1 S. 2 ARegV (hier nach § 11 Abs. 2 S. 1 Nr. 8 ARegV)</t>
  </si>
  <si>
    <t>[EUR]</t>
  </si>
  <si>
    <t>tatsächlich entstandene Kosten</t>
  </si>
  <si>
    <t>in der Erlösobergrenze enthaltener Ansatz</t>
  </si>
  <si>
    <t>Höchstspannung (HöS)</t>
  </si>
  <si>
    <t>USp. Höchst- / Hochspannung (HöS/HS)</t>
  </si>
  <si>
    <t>maximale Netzlast
[kW]</t>
  </si>
  <si>
    <t>maximale Bezugslast
[kW]</t>
  </si>
  <si>
    <t>Der aktuelle Stand dieses Tools ist unter https://www.regulierungskammer-bayern.de/veroeffentlichungen/ abrufbar.</t>
  </si>
  <si>
    <t>Gewichtung
Arbeit</t>
  </si>
  <si>
    <t>Gewichtung
Leistung</t>
  </si>
  <si>
    <t>Rückspeisung eN</t>
  </si>
  <si>
    <t>Rückspeisung fN</t>
  </si>
  <si>
    <t>Schlüssel 1</t>
  </si>
  <si>
    <t>Schlüssel 3</t>
  </si>
  <si>
    <t xml:space="preserve">Art
</t>
  </si>
  <si>
    <t>vermNE
Arbeit
ohne Rückspeisung
Referenz-preisblatt</t>
  </si>
  <si>
    <t>vermNE 
Leistung
ohne Rückspeisung
Referenz-
preisblatt</t>
  </si>
  <si>
    <t>Leistungspreis größer 2.500 h für die vorgelagerte Netzebene</t>
  </si>
  <si>
    <t>Arbeitspreis größer 2.500 h für die vorgelagerte Netzebene</t>
  </si>
  <si>
    <t>[Ct/kWh]</t>
  </si>
  <si>
    <t>Bezeichnung des Netzgebiets</t>
  </si>
  <si>
    <t>Netzgebiets-ID</t>
  </si>
  <si>
    <r>
      <t xml:space="preserve">Dezentrale Einspeisungen aus </t>
    </r>
    <r>
      <rPr>
        <b/>
        <i/>
        <sz val="11"/>
        <rFont val="Times New Roman"/>
        <family val="1"/>
      </rPr>
      <t>nicht leistungsgemessenen</t>
    </r>
    <r>
      <rPr>
        <b/>
        <sz val="11"/>
        <rFont val="Times New Roman"/>
        <family val="1"/>
      </rPr>
      <t xml:space="preserve"> Erzeugungsanlagen, </t>
    </r>
    <r>
      <rPr>
        <b/>
        <i/>
        <sz val="11"/>
        <rFont val="Times New Roman"/>
        <family val="1"/>
      </rPr>
      <t>nicht leistungsgemessene</t>
    </r>
    <r>
      <rPr>
        <b/>
        <sz val="11"/>
        <rFont val="Times New Roman"/>
        <family val="1"/>
      </rPr>
      <t xml:space="preserve"> Rückspeisung aus der eigenen nachgelagerten Ebene und </t>
    </r>
    <r>
      <rPr>
        <b/>
        <i/>
        <sz val="11"/>
        <rFont val="Times New Roman"/>
        <family val="1"/>
      </rPr>
      <t>nicht leistungsgemessene</t>
    </r>
    <r>
      <rPr>
        <b/>
        <sz val="11"/>
        <rFont val="Times New Roman"/>
        <family val="1"/>
      </rPr>
      <t xml:space="preserve"> Rückspeisungen aus fremden Netzen</t>
    </r>
  </si>
  <si>
    <t>&lt;= 2017</t>
  </si>
  <si>
    <t>&gt;= 2018</t>
  </si>
  <si>
    <t>&lt;= 2022</t>
  </si>
  <si>
    <t>&gt;= 2023</t>
  </si>
  <si>
    <t>Arbeit
[€]</t>
  </si>
  <si>
    <t>Leistung
[€]</t>
  </si>
  <si>
    <r>
      <t xml:space="preserve">gemessene
Leistung
zum Zeitpunkt
</t>
    </r>
    <r>
      <rPr>
        <i/>
        <sz val="11"/>
        <rFont val="Times New Roman"/>
        <family val="1"/>
      </rPr>
      <t>t</t>
    </r>
    <r>
      <rPr>
        <i/>
        <vertAlign val="subscript"/>
        <sz val="11"/>
        <rFont val="Times New Roman"/>
        <family val="1"/>
      </rPr>
      <t>E</t>
    </r>
  </si>
  <si>
    <r>
      <t xml:space="preserve">rechnerische
Leistung zum
Zeitpunkt </t>
    </r>
    <r>
      <rPr>
        <i/>
        <sz val="11"/>
        <rFont val="Times New Roman"/>
        <family val="1"/>
      </rPr>
      <t>t</t>
    </r>
    <r>
      <rPr>
        <i/>
        <vertAlign val="subscript"/>
        <sz val="11"/>
        <rFont val="Times New Roman"/>
        <family val="1"/>
      </rPr>
      <t>E</t>
    </r>
    <r>
      <rPr>
        <vertAlign val="subscript"/>
        <sz val="11"/>
        <rFont val="Times New Roman"/>
        <family val="1"/>
      </rPr>
      <t xml:space="preserve">
</t>
    </r>
    <r>
      <rPr>
        <sz val="11"/>
        <rFont val="Times New Roman"/>
        <family val="1"/>
      </rPr>
      <t/>
    </r>
  </si>
  <si>
    <r>
      <t xml:space="preserve">rechnerische
Leistung zum
Zeitpunkt </t>
    </r>
    <r>
      <rPr>
        <b/>
        <i/>
        <sz val="11"/>
        <rFont val="Times New Roman"/>
        <family val="1"/>
      </rPr>
      <t>t</t>
    </r>
    <r>
      <rPr>
        <b/>
        <i/>
        <vertAlign val="subscript"/>
        <sz val="11"/>
        <rFont val="Times New Roman"/>
        <family val="1"/>
      </rPr>
      <t>E</t>
    </r>
    <r>
      <rPr>
        <b/>
        <sz val="11"/>
        <rFont val="Times New Roman"/>
        <family val="1"/>
      </rPr>
      <t xml:space="preserve">
* </t>
    </r>
    <r>
      <rPr>
        <b/>
        <i/>
        <sz val="11"/>
        <rFont val="Times New Roman"/>
        <family val="1"/>
      </rPr>
      <t>s</t>
    </r>
  </si>
  <si>
    <r>
      <t xml:space="preserve">verlustbehaftete Entnahmelast zum Zeitpunkt </t>
    </r>
    <r>
      <rPr>
        <i/>
        <sz val="11"/>
        <rFont val="Times New Roman"/>
        <family val="1"/>
      </rPr>
      <t>t</t>
    </r>
    <r>
      <rPr>
        <i/>
        <vertAlign val="subscript"/>
        <sz val="11"/>
        <rFont val="Times New Roman"/>
        <family val="1"/>
      </rPr>
      <t>E,vNE</t>
    </r>
  </si>
  <si>
    <r>
      <t xml:space="preserve">- Bezugslast zum Zeitpunkt </t>
    </r>
    <r>
      <rPr>
        <i/>
        <sz val="11"/>
        <rFont val="Times New Roman"/>
        <family val="1"/>
      </rPr>
      <t>t</t>
    </r>
    <r>
      <rPr>
        <i/>
        <vertAlign val="subscript"/>
        <sz val="11"/>
        <rFont val="Times New Roman"/>
        <family val="1"/>
      </rPr>
      <t>E,vNE</t>
    </r>
  </si>
  <si>
    <r>
      <t xml:space="preserve">Last aus dezentralen Einspeisungen und Rückspeisungen zum Zeitpunkt </t>
    </r>
    <r>
      <rPr>
        <i/>
        <sz val="11"/>
        <rFont val="Times New Roman"/>
        <family val="1"/>
      </rPr>
      <t>t</t>
    </r>
    <r>
      <rPr>
        <i/>
        <vertAlign val="subscript"/>
        <sz val="11"/>
        <rFont val="Times New Roman"/>
        <family val="1"/>
      </rPr>
      <t>E,vNE</t>
    </r>
  </si>
  <si>
    <r>
      <t>- P</t>
    </r>
    <r>
      <rPr>
        <i/>
        <vertAlign val="subscript"/>
        <sz val="11"/>
        <rFont val="Times New Roman"/>
        <family val="1"/>
      </rPr>
      <t>B,tE,vNE</t>
    </r>
  </si>
  <si>
    <r>
      <t>P</t>
    </r>
    <r>
      <rPr>
        <i/>
        <vertAlign val="subscript"/>
        <sz val="11"/>
        <rFont val="Times New Roman"/>
        <family val="1"/>
      </rPr>
      <t>D,tE,vNE</t>
    </r>
    <r>
      <rPr>
        <i/>
        <sz val="11"/>
        <rFont val="Times New Roman"/>
        <family val="1"/>
      </rPr>
      <t xml:space="preserve"> + P</t>
    </r>
    <r>
      <rPr>
        <i/>
        <vertAlign val="subscript"/>
        <sz val="11"/>
        <rFont val="Times New Roman"/>
        <family val="1"/>
      </rPr>
      <t>R,tE,vNE</t>
    </r>
  </si>
  <si>
    <t>Gewichtung des Leistungsanteils für die Rückspeisung</t>
  </si>
  <si>
    <t>Gewichtung des Arbeitsanteils für die Rückspeisung</t>
  </si>
  <si>
    <r>
      <t>Anteilsfaktor leistungsgemessene Einspeiser zum Zeitpunkt</t>
    </r>
    <r>
      <rPr>
        <i/>
        <sz val="11"/>
        <rFont val="Times New Roman"/>
        <family val="1"/>
      </rPr>
      <t xml:space="preserve"> t</t>
    </r>
    <r>
      <rPr>
        <i/>
        <vertAlign val="subscript"/>
        <sz val="11"/>
        <rFont val="Times New Roman"/>
        <family val="1"/>
      </rPr>
      <t xml:space="preserve">E,vNE </t>
    </r>
    <r>
      <rPr>
        <sz val="11"/>
        <rFont val="Times New Roman"/>
        <family val="1"/>
      </rPr>
      <t>für die Rückspeisung</t>
    </r>
  </si>
  <si>
    <r>
      <t xml:space="preserve">Anteilsfaktor nicht leistungsgemessene Einspeiser zum Zeitpunkt </t>
    </r>
    <r>
      <rPr>
        <i/>
        <sz val="11"/>
        <rFont val="Times New Roman"/>
        <family val="1"/>
      </rPr>
      <t>t</t>
    </r>
    <r>
      <rPr>
        <i/>
        <vertAlign val="subscript"/>
        <sz val="11"/>
        <rFont val="Times New Roman"/>
        <family val="1"/>
      </rPr>
      <t xml:space="preserve">E,vNE </t>
    </r>
    <r>
      <rPr>
        <sz val="11"/>
        <rFont val="Times New Roman"/>
        <family val="1"/>
      </rPr>
      <t>für die Rückspeisung</t>
    </r>
  </si>
  <si>
    <t>Basis für die Gewichtung des Leistungsanteils für die Rückspeisung</t>
  </si>
  <si>
    <r>
      <t>Schlüssel 3
gewichtete,
rechnerische
Leistung zum 
Zeitpunkt</t>
    </r>
    <r>
      <rPr>
        <i/>
        <sz val="11"/>
        <rFont val="Times New Roman"/>
        <family val="1"/>
      </rPr>
      <t xml:space="preserve"> t</t>
    </r>
    <r>
      <rPr>
        <i/>
        <vertAlign val="subscript"/>
        <sz val="11"/>
        <rFont val="Times New Roman"/>
        <family val="1"/>
      </rPr>
      <t>E</t>
    </r>
  </si>
  <si>
    <t>XY GmbH</t>
  </si>
  <si>
    <t>EEG</t>
  </si>
  <si>
    <t>EE-Anlagen - Bestand sowie Neu nicht volatil</t>
  </si>
  <si>
    <t>EE-Anlagen - Bestand volatil</t>
  </si>
  <si>
    <t>EE-Anlagen - Neu volatil</t>
  </si>
  <si>
    <t>Für Verbesserungsvorschläge, Lob und Kritik wenden Sie sich bitte an Ihren unmittelbaren Ansprechpartner bei Ihrer Regulierungsbehörde oder an die Entwickler dieses Tools. Bitte geben Sie dabei den oben genannten Stand des Tools an, damit wir Ihre Hinweise schneller zuordnen können. An dieser Stelle noch einmal vielen Dank für die bisher bereits eingegangen Anregungen.</t>
  </si>
  <si>
    <t>Günter Wittmann 
Telefon: 0941 / 5680 - 1304
guenter.wittmann@reg-opf.bayern.de
Kilian Auburger
Telefon 0941 / 5680 - 1335
kilian.auburger@reg-opf.bayern.de</t>
  </si>
  <si>
    <t>Umspannung Hochspannung Mittelspannung</t>
  </si>
  <si>
    <t>Mittelspannung</t>
  </si>
  <si>
    <t>Umspannung Mittelspannung Niederspannung</t>
  </si>
  <si>
    <t>Niederspannung</t>
  </si>
  <si>
    <t>Spalte7</t>
  </si>
  <si>
    <t>Spalte8</t>
  </si>
  <si>
    <t>ohne vermNE</t>
  </si>
  <si>
    <t>Anlage, die nach § 120 Abs. 2 Satz 1 keine vermiedene Netzentgelte erhält</t>
  </si>
  <si>
    <r>
      <t>L+fN+eN
+A</t>
    </r>
    <r>
      <rPr>
        <i/>
        <vertAlign val="subscript"/>
        <sz val="11"/>
        <rFont val="Times New Roman"/>
        <family val="1"/>
      </rPr>
      <t>fN</t>
    </r>
    <r>
      <rPr>
        <i/>
        <sz val="11"/>
        <rFont val="Times New Roman"/>
        <family val="1"/>
      </rPr>
      <t>+A</t>
    </r>
    <r>
      <rPr>
        <i/>
        <vertAlign val="subscript"/>
        <sz val="11"/>
        <rFont val="Times New Roman"/>
        <family val="1"/>
      </rPr>
      <t>eN</t>
    </r>
    <r>
      <rPr>
        <i/>
        <sz val="11"/>
        <rFont val="Times New Roman"/>
        <family val="1"/>
      </rPr>
      <t>+V</t>
    </r>
  </si>
  <si>
    <r>
      <t>v = V / (L+fN+eN
+A</t>
    </r>
    <r>
      <rPr>
        <i/>
        <vertAlign val="subscript"/>
        <sz val="11"/>
        <rFont val="Times New Roman"/>
        <family val="1"/>
      </rPr>
      <t>fN</t>
    </r>
    <r>
      <rPr>
        <i/>
        <sz val="11"/>
        <rFont val="Times New Roman"/>
        <family val="1"/>
      </rPr>
      <t>+A</t>
    </r>
    <r>
      <rPr>
        <i/>
        <vertAlign val="subscript"/>
        <sz val="11"/>
        <rFont val="Times New Roman"/>
        <family val="1"/>
      </rPr>
      <t>eN</t>
    </r>
    <r>
      <rPr>
        <i/>
        <sz val="11"/>
        <rFont val="Times New Roman"/>
        <family val="1"/>
      </rPr>
      <t>)</t>
    </r>
  </si>
  <si>
    <r>
      <t>B</t>
    </r>
    <r>
      <rPr>
        <i/>
        <vertAlign val="subscript"/>
        <sz val="11"/>
        <rFont val="Times New Roman"/>
        <family val="1"/>
      </rPr>
      <t>fN</t>
    </r>
    <r>
      <rPr>
        <i/>
        <sz val="11"/>
        <rFont val="Times New Roman"/>
        <family val="1"/>
      </rPr>
      <t>+B</t>
    </r>
    <r>
      <rPr>
        <i/>
        <vertAlign val="subscript"/>
        <sz val="11"/>
        <rFont val="Times New Roman"/>
        <family val="1"/>
      </rPr>
      <t xml:space="preserve">eN
</t>
    </r>
    <r>
      <rPr>
        <i/>
        <sz val="11"/>
        <rFont val="Times New Roman"/>
        <family val="1"/>
      </rPr>
      <t>+D+R</t>
    </r>
    <r>
      <rPr>
        <i/>
        <vertAlign val="subscript"/>
        <sz val="11"/>
        <rFont val="Times New Roman"/>
        <family val="1"/>
      </rPr>
      <t>fN</t>
    </r>
    <r>
      <rPr>
        <i/>
        <sz val="11"/>
        <rFont val="Times New Roman"/>
        <family val="1"/>
      </rPr>
      <t>+R</t>
    </r>
    <r>
      <rPr>
        <i/>
        <vertAlign val="subscript"/>
        <sz val="11"/>
        <rFont val="Times New Roman"/>
        <family val="1"/>
      </rPr>
      <t>eN</t>
    </r>
  </si>
  <si>
    <r>
      <t xml:space="preserve">Dezentrale Einspeisungen aus </t>
    </r>
    <r>
      <rPr>
        <b/>
        <i/>
        <sz val="11"/>
        <rFont val="Times New Roman"/>
        <family val="1"/>
      </rPr>
      <t>leistungsgemessenen</t>
    </r>
    <r>
      <rPr>
        <b/>
        <sz val="11"/>
        <rFont val="Times New Roman"/>
        <family val="1"/>
      </rPr>
      <t xml:space="preserve"> Erzeugungsanlagen, </t>
    </r>
    <r>
      <rPr>
        <b/>
        <i/>
        <sz val="11"/>
        <rFont val="Times New Roman"/>
        <family val="1"/>
      </rPr>
      <t>leistungsgemessene</t>
    </r>
    <r>
      <rPr>
        <b/>
        <sz val="11"/>
        <rFont val="Times New Roman"/>
        <family val="1"/>
      </rPr>
      <t xml:space="preserve"> Rückspeisungen aus der eigenen nachgelagerten Ebene und </t>
    </r>
    <r>
      <rPr>
        <b/>
        <i/>
        <sz val="11"/>
        <rFont val="Times New Roman"/>
        <family val="1"/>
      </rPr>
      <t>leistungsgemessene</t>
    </r>
    <r>
      <rPr>
        <b/>
        <sz val="11"/>
        <rFont val="Times New Roman"/>
        <family val="1"/>
      </rPr>
      <t xml:space="preserve"> Rückspeisungen von fremden Netzen</t>
    </r>
  </si>
  <si>
    <t>Eingabe</t>
  </si>
  <si>
    <t>Einfügen und Löschen von Zeilen in Tabellen</t>
  </si>
  <si>
    <t>Soll in den Registern vermNE HS, vermNE HM, …, vermNE NS in einer der Tabellen zur dezentralen Einspeisung leistungsgemessener bzw nicht-leistungsgemessener Einspeiser eine neue Zeile eingefügt oder eine überflüssige Zeile gelöscht werden, so ist dies nur über die beiden entsprechenden Schaltflächen in der Kopfzeile der oberen Tabelle möglich. Zunächst ist dazu eine Zelle der Zeile auszuwählen an deren Stelle eine neue Zeile eingefügt bzw. welche gelöscht werden soll. Danach ist die entsprechende Schaltfläche anzuklicken.</t>
  </si>
  <si>
    <t>NE</t>
  </si>
  <si>
    <t>Netzebene</t>
  </si>
  <si>
    <t xml:space="preserve">Tabellarischer rechnerischer Arbeitsfluss </t>
  </si>
  <si>
    <t>Grafischer rechnerischer Arbeitsfluss (nur NE5 bis NE7)</t>
  </si>
  <si>
    <t>Gewichtung Rückspeisung eN</t>
  </si>
  <si>
    <t>Version und Kontakt</t>
  </si>
  <si>
    <t>NRK</t>
  </si>
  <si>
    <t>Netzreservekapazität</t>
  </si>
  <si>
    <t>vNK</t>
  </si>
  <si>
    <t>vorgelagerte Netzkosten</t>
  </si>
  <si>
    <t>NB</t>
  </si>
  <si>
    <t>Netzbetreiber</t>
  </si>
  <si>
    <t>- bei den vNK angesetzte Kosten für NRK</t>
  </si>
  <si>
    <t>Vermiedene Netzentgelte des NB lt. Tool 
unter Berücksichtigung von Gutschriften aus Rückspeisungen und für Netzreservekapazität</t>
  </si>
  <si>
    <t>bei den vNK angesetzte Kosten für NRK</t>
  </si>
  <si>
    <t>davon noch nicht an Einspeiser weitergegebene Kosten</t>
  </si>
  <si>
    <t>davon an Einspeiser weitergegebene Kosten</t>
  </si>
  <si>
    <r>
      <rPr>
        <b/>
        <sz val="11"/>
        <color theme="1"/>
        <rFont val="Times New Roman"/>
        <family val="1"/>
      </rPr>
      <t xml:space="preserve">Netzreservekapazität (NRK)
</t>
    </r>
    <r>
      <rPr>
        <sz val="11"/>
        <color theme="1"/>
        <rFont val="Times New Roman"/>
        <family val="1"/>
      </rPr>
      <t xml:space="preserve">
Der Beschluss des BGH vom 14.11.2017, Aktenzeichen EnVR 41/16 hat folgende Leitsätze:
a) Als maximale Bezugslast im Sinne von § 18 Abs. 2 Satz 5 StromNEV (...) ist im Falle der Bestellung von NRK zur Absicherung gegen den Ausfall dezentraler Erzeugungsanlagen nicht der höchste gemessene physikalische Leistungswert anzusehen, sondern der Maximalwert, der unter Berücksichtigung der bestellten NRK für die Berechnung der Entgelte für die Nutzung des vorgelagerten Netzes maßgeblich ist.
b) Die nach § 18 Abs. 2 StromNEV anhand der Vermeidungsarbeit, der Vermeidungsleistung und der Netzentgelte der vorgelagerten Ebene ermittelten vermiedenen Kosten sind allerdings um die Kosten zu verringern, die für die bestellte NRK anfallen.
In diesem Beschluss des BGH geht es um eine vom Netzbetreiber (NB) beim vorgelagerten NB bestellte NRK. Dieser Beschluss behandelt die vom dezentralen Einspeiser beim NB bestellte NRK nicht.
In der Prüfungspraxis hat der BGH-Beschluss im Regelfall folgende Auswirkungen:
a) Die maximale Bezugslast ergibt sich nicht aus dem physikalischen Bezugslastgang, sondern aus dem Differenzlastgang zwischen dem physikalischen Bezugslastgang und einem Lastgang, der die bestellte Netzreservekapazität berücksichtigt.
b) Dieser Differenzlastgang ist Grundlage für die Ermittlung der vNK und der vermNE.
c) Die vom NB gezahlten Kosten für die bestellte NRK zählen zu den vNK. Die Kosten für NRK müssen zusätzlich kostenmindernd bei den vermNE berücksichtigt werden. 
Sonstiges: Nimmt ein NB NRK in Anspruch, sinken im Regelfall die Erlöse des vorgelagerten NB. Der Preis für die NRK müsste die erwartete Schadenhöhe sein, so dass auch beim vorgelagerten NB die erwarteten Erlöse sich nicht ändern.</t>
    </r>
    <r>
      <rPr>
        <b/>
        <sz val="11"/>
        <color theme="1"/>
        <rFont val="Times New Roman"/>
        <family val="1"/>
      </rPr>
      <t xml:space="preserve">
</t>
    </r>
  </si>
  <si>
    <t>Spalte222</t>
  </si>
  <si>
    <t>an Einspeiser weitergegebene Kosten für NRK</t>
  </si>
  <si>
    <t>Vermiedene Netzentgelte des NB lt. Tool 
ohne Berücksichtigung von Gutschriften aus Rückspeisungen, aber mit Berücksichtigung der Netzreservekapazität</t>
  </si>
  <si>
    <t>Ermittlung Jahreshöchstlast (JHL) der Entnahmen in der Mittelspannung für vermiedene Netzentgelte (vermNE), Briefmarke (BM) und Maximalwertkurve bei individuellen Netzentgelten (MWK INE); Top-Down</t>
  </si>
  <si>
    <t>Ermittlung Jahreshöchstlast (JHL) der Entnahmen in der Umspannung für vermiedene Netzentgelte (vermNE), Briefmarke (BM) und Maximalwertkurve bei individuellen Netzentgelten (MWK INE); Top-Down</t>
  </si>
  <si>
    <t>Ermittlung Jahreshöchstlast (JHL) der Entnahmen in der Niederspannung für vermiedene Netzentgelte (vermNE), Briefmarke (BM) und Maximalwertkurve bei individuellen Netzentgelten (MWK INE); Top-Down</t>
  </si>
  <si>
    <t>Netzgebiet</t>
  </si>
  <si>
    <t>Netz- bzw. Umspannebene</t>
  </si>
  <si>
    <t>Summe der Vergütungen aus dezentralen Einspeisungen</t>
  </si>
  <si>
    <t>Netz- bzw. Umspannebene,
in die eingespeist wird</t>
  </si>
  <si>
    <t>Aufstellung der dezentralen Einspeisungen</t>
  </si>
  <si>
    <t>Stammdaten</t>
  </si>
  <si>
    <t>ungekürzte Menge</t>
  </si>
  <si>
    <t>Netzentgelte der vorgelagerten Netz- bzw. Umspannebene</t>
  </si>
  <si>
    <t>Netzbetreiber, dessen Netzentgelte angewendet werden</t>
  </si>
  <si>
    <t>Vergütung für die Vermeidungsleistung</t>
  </si>
  <si>
    <t>Vergütung für die Vermeidungsarbeit</t>
  </si>
  <si>
    <t>Summe Vergütung</t>
  </si>
  <si>
    <t>Bezeichnung des Einspeisers (auch zusammengefasste Anlagen)</t>
  </si>
  <si>
    <t>Einspeiseart</t>
  </si>
  <si>
    <t>Vermeidungs-leistung
[kW]</t>
  </si>
  <si>
    <t>Vermeidungs-arbeit
[kWh]</t>
  </si>
  <si>
    <t>Leistungspreis
[EUR/kW]</t>
  </si>
  <si>
    <t>Arbeitspreis
[Cent/kWh]</t>
  </si>
  <si>
    <t>BNR</t>
  </si>
  <si>
    <t>Betrag
[EUR]</t>
  </si>
  <si>
    <t>Korrektur- bzw. Skalierungs-faktor</t>
  </si>
  <si>
    <t>Nach Anwendung des Korrekur- bzw. Skalierungs-
faktors
[EUR]</t>
  </si>
  <si>
    <t>Nach Anwendung des Korrekur- bzw. Skalierungs-faktors
[EUR]</t>
  </si>
  <si>
    <t>Summe:</t>
  </si>
  <si>
    <t>Endergebnis des vermNE-Tools</t>
  </si>
  <si>
    <t>Bitte wählen</t>
  </si>
  <si>
    <t>Gebuchter Jahresaufwand für vermiedene Netzentgelte gem. handelsrechtlichem Jahresabschluss 2019 [EUR]:</t>
  </si>
  <si>
    <t>Vermeidungs-
leistung für das Kalenderjahr 2019
[kW]</t>
  </si>
  <si>
    <t>Vermeidungs-
arbeit für das Kalenderjahr 2019
[kWh]</t>
  </si>
  <si>
    <t>Vergütung für die Vermeidungs-
leistung des Jahres 2019
[EUR]</t>
  </si>
  <si>
    <t>Vergütung für die Vermeidungs-
arbeit des Jahres 2019
[EUR]</t>
  </si>
  <si>
    <t>Vergütung für dezentrale Einspeisungen  im Sinne von §18 StromNEV, § 57 Abs. 3 des EEG und § 4 Abs. 3 des KWK-G für das Jahr 2019
[EUR]</t>
  </si>
  <si>
    <t>[€/kW]</t>
  </si>
  <si>
    <t>Externe RSV</t>
  </si>
  <si>
    <t>Interne RSV</t>
  </si>
  <si>
    <r>
      <t xml:space="preserve">Hier können Sie die Berechnungsoptionen auf automatisch stellen: Formeln -&gt; Berechnungsoptionen
Bitte schicken Sie dieses Tool als </t>
    </r>
    <r>
      <rPr>
        <b/>
        <sz val="11"/>
        <color theme="1"/>
        <rFont val="Times New Roman"/>
        <family val="1"/>
      </rPr>
      <t>xlsx-Datei</t>
    </r>
    <r>
      <rPr>
        <sz val="11"/>
        <color theme="1"/>
        <rFont val="Times New Roman"/>
        <family val="1"/>
      </rPr>
      <t xml:space="preserve"> an die für Sie zuständige Behörde.</t>
    </r>
  </si>
  <si>
    <t>Zeitpunkt, an dem der Summenlastgang der verlustbehafteten Entnahmen in der betrachteten Netzebene ein Maximum erreicht</t>
  </si>
  <si>
    <t>Zeitpunkt, an dem der Summenlastgang der verlustbehafteten Entnahmen der vorgelagerten Netzebene ein Maximum erreicht</t>
  </si>
  <si>
    <r>
      <rPr>
        <i/>
        <sz val="11"/>
        <rFont val="Times New Roman"/>
        <family val="1"/>
      </rPr>
      <t>P</t>
    </r>
    <r>
      <rPr>
        <i/>
        <vertAlign val="subscript"/>
        <sz val="11"/>
        <rFont val="Times New Roman"/>
        <family val="1"/>
      </rPr>
      <t>verm,tE</t>
    </r>
  </si>
  <si>
    <r>
      <t xml:space="preserve">Vermeidungsleistung zum Zeitpunkt </t>
    </r>
    <r>
      <rPr>
        <i/>
        <sz val="11"/>
        <rFont val="Times New Roman"/>
        <family val="1"/>
      </rPr>
      <t>t</t>
    </r>
    <r>
      <rPr>
        <i/>
        <vertAlign val="subscript"/>
        <sz val="11"/>
        <rFont val="Times New Roman"/>
        <family val="1"/>
      </rPr>
      <t>E</t>
    </r>
    <r>
      <rPr>
        <sz val="11"/>
        <rFont val="Times New Roman"/>
        <family val="1"/>
      </rPr>
      <t xml:space="preserve"> (= </t>
    </r>
    <r>
      <rPr>
        <i/>
        <sz val="11"/>
        <rFont val="Times New Roman"/>
        <family val="1"/>
      </rPr>
      <t>P</t>
    </r>
    <r>
      <rPr>
        <i/>
        <vertAlign val="subscript"/>
        <sz val="11"/>
        <rFont val="Times New Roman"/>
        <family val="1"/>
      </rPr>
      <t>E,tE</t>
    </r>
    <r>
      <rPr>
        <sz val="11"/>
        <rFont val="Times New Roman"/>
        <family val="1"/>
      </rPr>
      <t xml:space="preserve"> - </t>
    </r>
    <r>
      <rPr>
        <i/>
        <sz val="11"/>
        <rFont val="Times New Roman"/>
        <family val="1"/>
      </rPr>
      <t>P</t>
    </r>
    <r>
      <rPr>
        <i/>
        <vertAlign val="subscript"/>
        <sz val="11"/>
        <rFont val="Times New Roman"/>
        <family val="1"/>
      </rPr>
      <t>B,tE</t>
    </r>
    <r>
      <rPr>
        <sz val="11"/>
        <rFont val="Times New Roman"/>
        <family val="1"/>
      </rPr>
      <t>)</t>
    </r>
  </si>
  <si>
    <t>E3 - Netz/-Umspannebenen</t>
  </si>
  <si>
    <t>E3 - Einspeiseart</t>
  </si>
  <si>
    <t>HöS/HS</t>
  </si>
  <si>
    <t>HS/MS</t>
  </si>
  <si>
    <t>MS/NS</t>
  </si>
  <si>
    <t>+ Lastgänge Rückspeisung in eigene NE5 aus eigener NE6 (positive Werte)</t>
  </si>
  <si>
    <t>davon negative Werte: 
Lastgänge Rückspeisung in eigene NE5 aus eigener NE6 =
 = Lastgänge Überspeisung in eigene NE5 aus eigener NE6</t>
  </si>
  <si>
    <t>- Lastgänge Überspeisung in eigene NE5 aus eigener NE6</t>
  </si>
  <si>
    <t>davon positive Werte: 
Lastgänge Bezug in eigener NE6 von eigener NE5 = 
= Lastgänge Abgabe an eigene NE6 von eigener NE5</t>
  </si>
  <si>
    <t>davon positive Werte: 
Lastgänge Bezug in eigener NE7 von eigenen NE6 =
= Lastgänge Abgabe an eigene NE7 von eigener NE6</t>
  </si>
  <si>
    <t>Lastgänge Bezug in eigener NE6 von eigener NE5</t>
  </si>
  <si>
    <t>+ Lastgänge Rückspeisung in eigene NE6 aus eigener NE7 (positive Werte)</t>
  </si>
  <si>
    <t>- Lastgänge Überspeisung aus eigener NE7 in eigene NE6</t>
  </si>
  <si>
    <t>davon negative Werte:
Lastgänge Rückspeisung in eigene NE6 aus eigener NE7 =
Lastgänge Überspeisung aus eigener NE7 in eigene NE6</t>
  </si>
  <si>
    <t>Jahr der 
Inbetrieb-
nahme</t>
  </si>
  <si>
    <t>Nicht vorhanden</t>
  </si>
  <si>
    <t>Gesamtnetzbetrachtung</t>
  </si>
  <si>
    <r>
      <t>Schlüssel 2
gewichtete,
rechnerische
Leistung zum 
Zeitpunkt</t>
    </r>
    <r>
      <rPr>
        <i/>
        <sz val="11"/>
        <rFont val="Times New Roman"/>
        <family val="1"/>
      </rPr>
      <t xml:space="preserve"> t</t>
    </r>
    <r>
      <rPr>
        <i/>
        <vertAlign val="subscript"/>
        <sz val="11"/>
        <rFont val="Times New Roman"/>
        <family val="1"/>
      </rPr>
      <t>E,vNE</t>
    </r>
  </si>
  <si>
    <r>
      <t xml:space="preserve">gemessene
Leistung
zum Zeitpunkt
</t>
    </r>
    <r>
      <rPr>
        <i/>
        <sz val="11"/>
        <rFont val="Times New Roman"/>
        <family val="1"/>
      </rPr>
      <t>t</t>
    </r>
    <r>
      <rPr>
        <i/>
        <vertAlign val="subscript"/>
        <sz val="11"/>
        <rFont val="Times New Roman"/>
        <family val="1"/>
      </rPr>
      <t>E, vNE</t>
    </r>
  </si>
  <si>
    <r>
      <t xml:space="preserve">Der Anteilsfaktor wird benötigt, falls Einspeiser mit verstetigter Bewertung vorliegen. Dies sind insbesondere alle nicht leistungsgemessenen Einspeiser. Mit Hilfe des Anteilsfaktors wird diese Einspeisern auf Basis ihrer verstetigten Leistung durch Multiplikation mit dem Anteilsfaktor ein Wert so zugewiesen, dass sich in Summe über alle Einspeiser mit verstetigter Bewertung die Einspeiseleistung dieser Einspeiser im Zeitpunkt </t>
    </r>
    <r>
      <rPr>
        <i/>
        <sz val="12"/>
        <rFont val="Arial"/>
        <family val="2"/>
      </rPr>
      <t>t</t>
    </r>
    <r>
      <rPr>
        <i/>
        <vertAlign val="subscript"/>
        <sz val="12"/>
        <rFont val="Arial"/>
        <family val="2"/>
      </rPr>
      <t>E</t>
    </r>
    <r>
      <rPr>
        <sz val="12"/>
        <rFont val="Arial"/>
        <family val="2"/>
      </rPr>
      <t xml:space="preserve"> ergibt.</t>
    </r>
  </si>
  <si>
    <r>
      <t xml:space="preserve">Der Zeitpunkt </t>
    </r>
    <r>
      <rPr>
        <i/>
        <sz val="12"/>
        <rFont val="Arial"/>
        <family val="2"/>
      </rPr>
      <t>t</t>
    </r>
    <r>
      <rPr>
        <i/>
        <vertAlign val="subscript"/>
        <sz val="12"/>
        <rFont val="Arial"/>
        <family val="2"/>
      </rPr>
      <t>E</t>
    </r>
    <r>
      <rPr>
        <sz val="12"/>
        <rFont val="Arial"/>
        <family val="2"/>
      </rPr>
      <t xml:space="preserve"> wird durch das Maximum der mittleren Kurve bestimmt.</t>
    </r>
  </si>
  <si>
    <t>JHL für BM, MWK INE und EKZ</t>
  </si>
  <si>
    <t>Arbeitspreis</t>
  </si>
  <si>
    <t>Leistungspreis</t>
  </si>
  <si>
    <t>Bayernwerk</t>
  </si>
  <si>
    <t>N-Ergie</t>
  </si>
  <si>
    <t>Höhe der Gewichtung in verschiedenen Kalkulationsjahren in Abhängigkeit von der Art des Einspeisers und vom Jahr der Inbetriebnahme (§ 120 EnWG)</t>
  </si>
  <si>
    <t>Art 
der Einspeisung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</si>
</sst>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64" formatCode="_(&quot;€&quot;* #,##0.00_);_(&quot;€&quot;* \(#,##0.00\);_(&quot;€&quot;* &quot;-&quot;??_);_(@_)"/>
    <numFmt numFmtId="165" formatCode="dd/mm/yy;@"/>
    <numFmt numFmtId="166" formatCode="[$-F400]h:mm:ss\ AM/PM"/>
    <numFmt numFmtId="167" formatCode="#,##0.0000000"/>
    <numFmt numFmtId="168" formatCode="#,##0.000"/>
    <numFmt numFmtId="169" formatCode="0.000"/>
    <numFmt numFmtId="170" formatCode="#,##0.00_ ;[Red]\-#,##0.00;\-"/>
    <numFmt numFmtId="171" formatCode="_([$€]* #,##0.00_);_([$€]* \(#,##0.00\);_([$€]* &quot;-&quot;??_);_(@_)"/>
    <numFmt numFmtId="172" formatCode="#,##0_ ;[Red]\-#,##0\ "/>
    <numFmt numFmtId="173" formatCode="#,##0.00_ ;[Red]\-#,##0.00\ "/>
    <numFmt numFmtId="174" formatCode="0_ ;[Red]\-0\ "/>
  </numFmts>
  <fonts count="84" x14ac:knownFonts="1">
    <font>
      <sz val="10"/>
      <name val="Arial"/>
    </font>
    <font>
      <sz val="11"/>
      <color theme="1"/>
      <name val="Calibri"/>
      <family val="2"/>
      <scheme val="minor"/>
    </font>
    <font>
      <sz val="11"/>
      <color theme="1"/>
      <name val="Calibri"/>
      <family val="2"/>
      <scheme val="minor"/>
    </font>
    <font>
      <sz val="10"/>
      <name val="Arial"/>
      <family val="2"/>
    </font>
    <font>
      <sz val="8"/>
      <name val="Arial"/>
      <family val="2"/>
    </font>
    <font>
      <b/>
      <sz val="11"/>
      <name val="Times New Roman"/>
      <family val="1"/>
    </font>
    <font>
      <sz val="11"/>
      <name val="Times New Roman"/>
      <family val="1"/>
    </font>
    <font>
      <vertAlign val="subscript"/>
      <sz val="11"/>
      <name val="Times New Roman"/>
      <family val="1"/>
    </font>
    <font>
      <b/>
      <i/>
      <sz val="11"/>
      <name val="Times New Roman"/>
      <family val="1"/>
    </font>
    <font>
      <u/>
      <sz val="11"/>
      <name val="Times New Roman"/>
      <family val="1"/>
    </font>
    <font>
      <sz val="11"/>
      <color indexed="81"/>
      <name val="Tahoma"/>
      <family val="2"/>
    </font>
    <font>
      <b/>
      <sz val="11"/>
      <color indexed="81"/>
      <name val="Tahoma"/>
      <family val="2"/>
    </font>
    <font>
      <i/>
      <sz val="11"/>
      <name val="Times New Roman"/>
      <family val="1"/>
    </font>
    <font>
      <i/>
      <vertAlign val="subscript"/>
      <sz val="11"/>
      <name val="Times New Roman"/>
      <family val="1"/>
    </font>
    <font>
      <b/>
      <i/>
      <vertAlign val="subscript"/>
      <sz val="11"/>
      <name val="Times New Roman"/>
      <family val="1"/>
    </font>
    <font>
      <i/>
      <sz val="11"/>
      <name val="Wingdings"/>
      <charset val="2"/>
    </font>
    <font>
      <b/>
      <i/>
      <sz val="11"/>
      <name val="Wingdings"/>
      <charset val="2"/>
    </font>
    <font>
      <i/>
      <sz val="11"/>
      <color indexed="81"/>
      <name val="Tahoma"/>
      <family val="2"/>
    </font>
    <font>
      <i/>
      <vertAlign val="subscript"/>
      <sz val="11"/>
      <color indexed="81"/>
      <name val="Tahoma"/>
      <family val="2"/>
    </font>
    <font>
      <sz val="9"/>
      <color indexed="81"/>
      <name val="Tahoma"/>
      <family val="2"/>
    </font>
    <font>
      <b/>
      <sz val="9"/>
      <color indexed="81"/>
      <name val="Tahoma"/>
      <family val="2"/>
    </font>
    <font>
      <sz val="16"/>
      <name val="Arial"/>
      <family val="2"/>
    </font>
    <font>
      <sz val="11"/>
      <color theme="1"/>
      <name val="Calibri"/>
      <family val="2"/>
      <scheme val="minor"/>
    </font>
    <font>
      <sz val="11"/>
      <color theme="1"/>
      <name val="Times New Roman"/>
      <family val="1"/>
    </font>
    <font>
      <b/>
      <sz val="11"/>
      <color theme="1"/>
      <name val="Times New Roman"/>
      <family val="1"/>
    </font>
    <font>
      <sz val="8"/>
      <color theme="1"/>
      <name val="Times New Roman"/>
      <family val="1"/>
    </font>
    <font>
      <sz val="11"/>
      <color rgb="FFFF0000"/>
      <name val="Times New Roman"/>
      <family val="1"/>
    </font>
    <font>
      <sz val="11"/>
      <color theme="0"/>
      <name val="Times New Roman"/>
      <family val="1"/>
    </font>
    <font>
      <i/>
      <sz val="11"/>
      <color theme="1"/>
      <name val="Times New Roman"/>
      <family val="1"/>
    </font>
    <font>
      <i/>
      <vertAlign val="superscript"/>
      <sz val="11"/>
      <name val="Times New Roman"/>
      <family val="1"/>
    </font>
    <font>
      <b/>
      <sz val="18"/>
      <name val="Times New Roman"/>
      <family val="1"/>
    </font>
    <font>
      <u/>
      <sz val="11"/>
      <color theme="1"/>
      <name val="Times New Roman"/>
      <family val="1"/>
    </font>
    <font>
      <i/>
      <u/>
      <sz val="11"/>
      <color indexed="81"/>
      <name val="Tahoma"/>
      <family val="2"/>
    </font>
    <font>
      <u/>
      <sz val="11"/>
      <color indexed="81"/>
      <name val="Tahoma"/>
      <family val="2"/>
    </font>
    <font>
      <i/>
      <vertAlign val="superscript"/>
      <sz val="11"/>
      <color indexed="81"/>
      <name val="Tahoma"/>
      <family val="2"/>
    </font>
    <font>
      <i/>
      <vertAlign val="subscript"/>
      <sz val="11"/>
      <color theme="1"/>
      <name val="Times New Roman"/>
      <family val="1"/>
    </font>
    <font>
      <b/>
      <sz val="12"/>
      <color indexed="81"/>
      <name val="Tahoma"/>
      <family val="2"/>
    </font>
    <font>
      <sz val="12"/>
      <color indexed="81"/>
      <name val="Tahoma"/>
      <family val="2"/>
    </font>
    <font>
      <i/>
      <vertAlign val="superscript"/>
      <sz val="11"/>
      <color theme="1"/>
      <name val="Times New Roman"/>
      <family val="1"/>
    </font>
    <font>
      <b/>
      <sz val="10"/>
      <name val="Arial"/>
      <family val="2"/>
    </font>
    <font>
      <i/>
      <sz val="10"/>
      <name val="Arial"/>
      <family val="2"/>
    </font>
    <font>
      <b/>
      <i/>
      <sz val="10"/>
      <name val="Arial"/>
      <family val="2"/>
    </font>
    <font>
      <b/>
      <i/>
      <sz val="9"/>
      <name val="Arial"/>
      <family val="2"/>
    </font>
    <font>
      <b/>
      <sz val="9"/>
      <name val="Arial"/>
      <family val="2"/>
    </font>
    <font>
      <sz val="11"/>
      <color indexed="8"/>
      <name val="Calibri"/>
      <family val="2"/>
    </font>
    <font>
      <sz val="11"/>
      <color indexed="9"/>
      <name val="Calibri"/>
      <family val="2"/>
    </font>
    <font>
      <b/>
      <sz val="11"/>
      <color indexed="63"/>
      <name val="Calibri"/>
      <family val="2"/>
    </font>
    <font>
      <b/>
      <sz val="11"/>
      <color indexed="52"/>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u/>
      <sz val="11"/>
      <color indexed="12"/>
      <name val="Arial"/>
      <family val="2"/>
    </font>
    <font>
      <sz val="11"/>
      <color indexed="60"/>
      <name val="Calibri"/>
      <family val="2"/>
    </font>
    <font>
      <sz val="11"/>
      <name val="Arial"/>
      <family val="2"/>
    </font>
    <font>
      <sz val="11"/>
      <color indexed="20"/>
      <name val="Calibri"/>
      <family val="2"/>
    </font>
    <font>
      <b/>
      <sz val="15"/>
      <color indexed="56"/>
      <name val="Calibri"/>
      <family val="2"/>
    </font>
    <font>
      <b/>
      <sz val="13"/>
      <color indexed="56"/>
      <name val="Calibri"/>
      <family val="2"/>
    </font>
    <font>
      <b/>
      <sz val="11"/>
      <color indexed="56"/>
      <name val="Calibri"/>
      <family val="2"/>
    </font>
    <font>
      <b/>
      <sz val="18"/>
      <color indexed="56"/>
      <name val="Cambria"/>
      <family val="2"/>
    </font>
    <font>
      <sz val="10"/>
      <name val="Courier"/>
      <family val="3"/>
    </font>
    <font>
      <sz val="11"/>
      <color indexed="52"/>
      <name val="Calibri"/>
      <family val="2"/>
    </font>
    <font>
      <sz val="11"/>
      <color indexed="10"/>
      <name val="Calibri"/>
      <family val="2"/>
    </font>
    <font>
      <b/>
      <sz val="11"/>
      <color indexed="9"/>
      <name val="Calibri"/>
      <family val="2"/>
    </font>
    <font>
      <b/>
      <sz val="14"/>
      <name val="Arial"/>
      <family val="2"/>
    </font>
    <font>
      <b/>
      <sz val="12"/>
      <name val="Arial"/>
      <family val="2"/>
    </font>
    <font>
      <b/>
      <sz val="11"/>
      <color indexed="81"/>
      <name val="Arial"/>
      <family val="2"/>
    </font>
    <font>
      <sz val="11"/>
      <color indexed="81"/>
      <name val="Arial"/>
      <family val="2"/>
    </font>
    <font>
      <vertAlign val="superscript"/>
      <sz val="11"/>
      <color indexed="81"/>
      <name val="Arial"/>
      <family val="2"/>
    </font>
    <font>
      <b/>
      <sz val="11"/>
      <name val="Arial"/>
      <family val="2"/>
    </font>
    <font>
      <b/>
      <u/>
      <sz val="11"/>
      <color indexed="81"/>
      <name val="Tahoma"/>
      <family val="2"/>
    </font>
    <font>
      <b/>
      <sz val="11"/>
      <color indexed="81"/>
      <name val="Segoe UI"/>
      <family val="2"/>
    </font>
    <font>
      <b/>
      <sz val="12"/>
      <color indexed="81"/>
      <name val="Segoe UI"/>
      <family val="2"/>
    </font>
    <font>
      <sz val="12"/>
      <color indexed="81"/>
      <name val="Segoe UI"/>
      <family val="2"/>
    </font>
    <font>
      <sz val="11"/>
      <color indexed="81"/>
      <name val="Segoe UI"/>
      <family val="2"/>
    </font>
    <font>
      <vertAlign val="subscript"/>
      <sz val="11"/>
      <color indexed="81"/>
      <name val="Tahoma"/>
      <family val="2"/>
    </font>
    <font>
      <sz val="9"/>
      <color indexed="81"/>
      <name val="Segoe UI"/>
      <family val="2"/>
    </font>
    <font>
      <b/>
      <sz val="16"/>
      <color theme="1"/>
      <name val="Calibri"/>
      <family val="2"/>
      <scheme val="minor"/>
    </font>
    <font>
      <sz val="16"/>
      <color theme="1"/>
      <name val="Calibri"/>
      <family val="2"/>
      <scheme val="minor"/>
    </font>
    <font>
      <b/>
      <sz val="16"/>
      <name val="Times New Roman"/>
      <family val="1"/>
    </font>
    <font>
      <sz val="12"/>
      <name val="Arial"/>
      <family val="2"/>
    </font>
    <font>
      <i/>
      <sz val="12"/>
      <name val="Arial"/>
      <family val="2"/>
    </font>
    <font>
      <i/>
      <vertAlign val="subscript"/>
      <sz val="12"/>
      <name val="Arial"/>
      <family val="2"/>
    </font>
    <font>
      <vertAlign val="superscript"/>
      <sz val="11"/>
      <color indexed="81"/>
      <name val="Segoe UI"/>
      <family val="2"/>
    </font>
  </fonts>
  <fills count="52">
    <fill>
      <patternFill patternType="none"/>
    </fill>
    <fill>
      <patternFill patternType="gray125"/>
    </fill>
    <fill>
      <patternFill patternType="solid">
        <fgColor indexed="13"/>
        <bgColor indexed="64"/>
      </patternFill>
    </fill>
    <fill>
      <patternFill patternType="solid">
        <fgColor indexed="8"/>
        <bgColor indexed="64"/>
      </patternFill>
    </fill>
    <fill>
      <patternFill patternType="solid">
        <fgColor rgb="FFFFFF00"/>
        <bgColor indexed="64"/>
      </patternFill>
    </fill>
    <fill>
      <patternFill patternType="solid">
        <fgColor rgb="FFCCFF33"/>
        <bgColor indexed="64"/>
      </patternFill>
    </fill>
    <fill>
      <patternFill patternType="solid">
        <fgColor rgb="FF00B0F0"/>
        <bgColor indexed="64"/>
      </patternFill>
    </fill>
    <fill>
      <patternFill patternType="solid">
        <fgColor rgb="FF99FF66"/>
        <bgColor indexed="64"/>
      </patternFill>
    </fill>
    <fill>
      <patternFill patternType="solid">
        <fgColor rgb="FFCCECFF"/>
        <bgColor indexed="64"/>
      </patternFill>
    </fill>
    <fill>
      <patternFill patternType="solid">
        <fgColor rgb="FFFFFF99"/>
        <bgColor indexed="64"/>
      </patternFill>
    </fill>
    <fill>
      <patternFill patternType="solid">
        <fgColor theme="1"/>
        <bgColor indexed="64"/>
      </patternFill>
    </fill>
    <fill>
      <patternFill patternType="solid">
        <fgColor rgb="FFCCFFCC"/>
        <bgColor indexed="64"/>
      </patternFill>
    </fill>
    <fill>
      <patternFill patternType="solid">
        <fgColor rgb="FFFF0000"/>
        <bgColor indexed="64"/>
      </patternFill>
    </fill>
    <fill>
      <patternFill patternType="solid">
        <fgColor rgb="FFFFCCFF"/>
        <bgColor indexed="64"/>
      </patternFill>
    </fill>
    <fill>
      <patternFill patternType="solid">
        <fgColor rgb="FF99FFCC"/>
        <bgColor indexed="64"/>
      </patternFill>
    </fill>
    <fill>
      <patternFill patternType="solid">
        <fgColor rgb="FFE4E4E4"/>
        <bgColor indexed="64"/>
      </patternFill>
    </fill>
    <fill>
      <patternFill patternType="solid">
        <fgColor rgb="FFFF9966"/>
        <bgColor indexed="64"/>
      </patternFill>
    </fill>
    <fill>
      <patternFill patternType="solid">
        <fgColor rgb="FF6699FF"/>
        <bgColor indexed="64"/>
      </patternFill>
    </fill>
    <fill>
      <patternFill patternType="solid">
        <fgColor indexed="22"/>
        <bgColor indexed="64"/>
      </patternFill>
    </fill>
    <fill>
      <patternFill patternType="solid">
        <fgColor indexed="26"/>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3"/>
      </patternFill>
    </fill>
    <fill>
      <patternFill patternType="solid">
        <fgColor indexed="26"/>
      </patternFill>
    </fill>
    <fill>
      <patternFill patternType="solid">
        <fgColor indexed="55"/>
      </patternFill>
    </fill>
    <fill>
      <patternFill patternType="solid">
        <fgColor theme="6" tint="0.59999389629810485"/>
        <bgColor indexed="64"/>
      </patternFill>
    </fill>
    <fill>
      <patternFill patternType="solid">
        <fgColor theme="0" tint="-0.14999847407452621"/>
        <bgColor indexed="64"/>
      </patternFill>
    </fill>
    <fill>
      <patternFill patternType="solid">
        <fgColor theme="0" tint="-0.14996795556505021"/>
        <bgColor indexed="64"/>
      </patternFill>
    </fill>
    <fill>
      <patternFill patternType="solid">
        <fgColor indexed="43"/>
        <bgColor indexed="64"/>
      </patternFill>
    </fill>
    <fill>
      <patternFill patternType="solid">
        <fgColor theme="0" tint="-0.249977111117893"/>
        <bgColor indexed="64"/>
      </patternFill>
    </fill>
    <fill>
      <patternFill patternType="gray0625">
        <bgColor indexed="43"/>
      </patternFill>
    </fill>
    <fill>
      <patternFill patternType="solid">
        <fgColor theme="9"/>
        <bgColor indexed="64"/>
      </patternFill>
    </fill>
    <fill>
      <patternFill patternType="solid">
        <fgColor theme="0"/>
        <bgColor indexed="64"/>
      </patternFill>
    </fill>
    <fill>
      <patternFill patternType="solid">
        <fgColor indexed="9"/>
        <bgColor indexed="64"/>
      </patternFill>
    </fill>
    <fill>
      <patternFill patternType="solid">
        <fgColor rgb="FF92D050"/>
        <bgColor indexed="64"/>
      </patternFill>
    </fill>
  </fills>
  <borders count="86">
    <border>
      <left/>
      <right/>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medium">
        <color indexed="64"/>
      </left>
      <right/>
      <top/>
      <bottom/>
      <diagonal/>
    </border>
    <border>
      <left style="medium">
        <color indexed="64"/>
      </left>
      <right/>
      <top/>
      <bottom style="medium">
        <color indexed="64"/>
      </bottom>
      <diagonal/>
    </border>
    <border>
      <left/>
      <right style="thin">
        <color indexed="64"/>
      </right>
      <top/>
      <bottom style="medium">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style="thin">
        <color indexed="64"/>
      </left>
      <right/>
      <top style="medium">
        <color indexed="64"/>
      </top>
      <bottom/>
      <diagonal/>
    </border>
    <border>
      <left style="medium">
        <color indexed="64"/>
      </left>
      <right/>
      <top/>
      <bottom style="thin">
        <color indexed="64"/>
      </bottom>
      <diagonal/>
    </border>
    <border>
      <left/>
      <right style="thin">
        <color indexed="64"/>
      </right>
      <top style="medium">
        <color indexed="64"/>
      </top>
      <bottom/>
      <diagonal/>
    </border>
    <border>
      <left/>
      <right style="thin">
        <color indexed="64"/>
      </right>
      <top/>
      <bottom/>
      <diagonal/>
    </border>
    <border>
      <left style="thin">
        <color indexed="64"/>
      </left>
      <right/>
      <top/>
      <bottom style="medium">
        <color indexed="64"/>
      </bottom>
      <diagonal/>
    </border>
    <border>
      <left/>
      <right style="medium">
        <color indexed="64"/>
      </right>
      <top style="medium">
        <color indexed="64"/>
      </top>
      <bottom/>
      <diagonal/>
    </border>
    <border>
      <left/>
      <right style="medium">
        <color indexed="64"/>
      </right>
      <top/>
      <bottom style="thin">
        <color indexed="64"/>
      </bottom>
      <diagonal/>
    </border>
    <border>
      <left style="thin">
        <color indexed="64"/>
      </left>
      <right style="thin">
        <color indexed="64"/>
      </right>
      <top/>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medium">
        <color indexed="64"/>
      </bottom>
      <diagonal/>
    </border>
    <border>
      <left style="thin">
        <color indexed="64"/>
      </left>
      <right style="medium">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diagonal/>
    </border>
    <border>
      <left style="thin">
        <color indexed="64"/>
      </left>
      <right style="medium">
        <color indexed="64"/>
      </right>
      <top style="medium">
        <color indexed="64"/>
      </top>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style="double">
        <color indexed="64"/>
      </bottom>
      <diagonal/>
    </border>
    <border>
      <left/>
      <right/>
      <top/>
      <bottom style="hair">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rgb="FF000000"/>
      </right>
      <top/>
      <bottom/>
      <diagonal/>
    </border>
    <border>
      <left style="medium">
        <color rgb="FF000000"/>
      </left>
      <right/>
      <top/>
      <bottom/>
      <diagonal/>
    </border>
    <border>
      <left style="thin">
        <color indexed="64"/>
      </left>
      <right style="medium">
        <color rgb="FF000000"/>
      </right>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medium">
        <color auto="1"/>
      </left>
      <right style="thin">
        <color auto="1"/>
      </right>
      <top/>
      <bottom style="medium">
        <color auto="1"/>
      </bottom>
      <diagonal/>
    </border>
    <border>
      <left style="medium">
        <color indexed="64"/>
      </left>
      <right style="medium">
        <color indexed="64"/>
      </right>
      <top style="medium">
        <color indexed="64"/>
      </top>
      <bottom style="thin">
        <color indexed="64"/>
      </bottom>
      <diagonal/>
    </border>
    <border>
      <left style="thin">
        <color indexed="64"/>
      </left>
      <right/>
      <top style="thin">
        <color auto="1"/>
      </top>
      <bottom style="medium">
        <color indexed="64"/>
      </bottom>
      <diagonal/>
    </border>
    <border>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double">
        <color indexed="64"/>
      </left>
      <right style="double">
        <color indexed="64"/>
      </right>
      <top style="double">
        <color indexed="64"/>
      </top>
      <bottom/>
      <diagonal/>
    </border>
    <border>
      <left style="double">
        <color indexed="64"/>
      </left>
      <right style="double">
        <color indexed="64"/>
      </right>
      <top/>
      <bottom/>
      <diagonal/>
    </border>
    <border>
      <left style="double">
        <color indexed="64"/>
      </left>
      <right style="double">
        <color indexed="64"/>
      </right>
      <top/>
      <bottom style="double">
        <color auto="1"/>
      </bottom>
      <diagonal/>
    </border>
    <border>
      <left/>
      <right style="medium">
        <color indexed="64"/>
      </right>
      <top/>
      <bottom style="medium">
        <color indexed="64"/>
      </bottom>
      <diagonal/>
    </border>
    <border>
      <left/>
      <right/>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s>
  <cellStyleXfs count="166">
    <xf numFmtId="0" fontId="0" fillId="0" borderId="0"/>
    <xf numFmtId="9" fontId="3" fillId="0" borderId="0" applyFont="0" applyFill="0" applyBorder="0" applyAlignment="0" applyProtection="0"/>
    <xf numFmtId="0" fontId="22" fillId="0" borderId="0"/>
    <xf numFmtId="0" fontId="3" fillId="0" borderId="0"/>
    <xf numFmtId="9" fontId="3" fillId="0" borderId="0" applyFont="0" applyFill="0" applyBorder="0" applyAlignment="0" applyProtection="0"/>
    <xf numFmtId="0" fontId="3" fillId="18" borderId="0"/>
    <xf numFmtId="0" fontId="3" fillId="18" borderId="0"/>
    <xf numFmtId="0" fontId="3" fillId="18" borderId="0"/>
    <xf numFmtId="0" fontId="3" fillId="18" borderId="0"/>
    <xf numFmtId="0" fontId="3" fillId="18" borderId="0"/>
    <xf numFmtId="0" fontId="3" fillId="18" borderId="0"/>
    <xf numFmtId="0" fontId="3" fillId="18" borderId="0"/>
    <xf numFmtId="0" fontId="3" fillId="18" borderId="0"/>
    <xf numFmtId="0" fontId="3" fillId="18" borderId="0"/>
    <xf numFmtId="0" fontId="3" fillId="18" borderId="0"/>
    <xf numFmtId="0" fontId="3" fillId="18" borderId="0"/>
    <xf numFmtId="0" fontId="3" fillId="18" borderId="0"/>
    <xf numFmtId="0" fontId="39" fillId="18" borderId="0"/>
    <xf numFmtId="0" fontId="40" fillId="18" borderId="0"/>
    <xf numFmtId="0" fontId="41" fillId="18" borderId="0"/>
    <xf numFmtId="0" fontId="41" fillId="18" borderId="0"/>
    <xf numFmtId="0" fontId="41" fillId="18" borderId="0"/>
    <xf numFmtId="0" fontId="41" fillId="18" borderId="0"/>
    <xf numFmtId="0" fontId="41" fillId="18" borderId="0"/>
    <xf numFmtId="0" fontId="41" fillId="18" borderId="0"/>
    <xf numFmtId="0" fontId="41" fillId="18" borderId="0"/>
    <xf numFmtId="0" fontId="41" fillId="18" borderId="0"/>
    <xf numFmtId="0" fontId="41" fillId="18" borderId="0"/>
    <xf numFmtId="0" fontId="41" fillId="18" borderId="0"/>
    <xf numFmtId="0" fontId="41" fillId="18" borderId="0"/>
    <xf numFmtId="0" fontId="41" fillId="18" borderId="0"/>
    <xf numFmtId="0" fontId="42" fillId="18" borderId="0"/>
    <xf numFmtId="0" fontId="43" fillId="18" borderId="0"/>
    <xf numFmtId="0" fontId="4" fillId="18" borderId="0"/>
    <xf numFmtId="170" fontId="3" fillId="19" borderId="45"/>
    <xf numFmtId="170" fontId="3" fillId="19" borderId="45"/>
    <xf numFmtId="170" fontId="3" fillId="19" borderId="45"/>
    <xf numFmtId="170" fontId="3" fillId="19" borderId="45"/>
    <xf numFmtId="170" fontId="3" fillId="19" borderId="45"/>
    <xf numFmtId="0" fontId="40" fillId="19" borderId="0"/>
    <xf numFmtId="0" fontId="3" fillId="18" borderId="0"/>
    <xf numFmtId="0" fontId="3" fillId="18" borderId="0"/>
    <xf numFmtId="0" fontId="3" fillId="18" borderId="0"/>
    <xf numFmtId="0" fontId="3" fillId="18" borderId="0"/>
    <xf numFmtId="0" fontId="3" fillId="18" borderId="0"/>
    <xf numFmtId="0" fontId="3" fillId="18" borderId="0"/>
    <xf numFmtId="0" fontId="3" fillId="18" borderId="0"/>
    <xf numFmtId="0" fontId="3" fillId="18" borderId="0"/>
    <xf numFmtId="0" fontId="3" fillId="18" borderId="0"/>
    <xf numFmtId="0" fontId="3" fillId="18" borderId="0"/>
    <xf numFmtId="0" fontId="3" fillId="18" borderId="0"/>
    <xf numFmtId="0" fontId="3" fillId="18" borderId="0"/>
    <xf numFmtId="0" fontId="39" fillId="18" borderId="0"/>
    <xf numFmtId="0" fontId="40" fillId="18" borderId="0"/>
    <xf numFmtId="0" fontId="3" fillId="18" borderId="0"/>
    <xf numFmtId="0" fontId="42" fillId="18" borderId="0"/>
    <xf numFmtId="0" fontId="43" fillId="18" borderId="0"/>
    <xf numFmtId="0" fontId="4" fillId="18" borderId="0"/>
    <xf numFmtId="0" fontId="44" fillId="20" borderId="0" applyNumberFormat="0" applyBorder="0" applyAlignment="0" applyProtection="0"/>
    <xf numFmtId="0" fontId="44" fillId="21" borderId="0" applyNumberFormat="0" applyBorder="0" applyAlignment="0" applyProtection="0"/>
    <xf numFmtId="0" fontId="44" fillId="22" borderId="0" applyNumberFormat="0" applyBorder="0" applyAlignment="0" applyProtection="0"/>
    <xf numFmtId="0" fontId="44" fillId="23" borderId="0" applyNumberFormat="0" applyBorder="0" applyAlignment="0" applyProtection="0"/>
    <xf numFmtId="0" fontId="44" fillId="24" borderId="0" applyNumberFormat="0" applyBorder="0" applyAlignment="0" applyProtection="0"/>
    <xf numFmtId="0" fontId="44" fillId="25" borderId="0" applyNumberFormat="0" applyBorder="0" applyAlignment="0" applyProtection="0"/>
    <xf numFmtId="0" fontId="44" fillId="20" borderId="0" applyNumberFormat="0" applyBorder="0" applyAlignment="0" applyProtection="0"/>
    <xf numFmtId="0" fontId="44" fillId="21" borderId="0" applyNumberFormat="0" applyBorder="0" applyAlignment="0" applyProtection="0"/>
    <xf numFmtId="0" fontId="44" fillId="22" borderId="0" applyNumberFormat="0" applyBorder="0" applyAlignment="0" applyProtection="0"/>
    <xf numFmtId="0" fontId="44" fillId="23" borderId="0" applyNumberFormat="0" applyBorder="0" applyAlignment="0" applyProtection="0"/>
    <xf numFmtId="0" fontId="44" fillId="24" borderId="0" applyNumberFormat="0" applyBorder="0" applyAlignment="0" applyProtection="0"/>
    <xf numFmtId="0" fontId="44" fillId="25" borderId="0" applyNumberFormat="0" applyBorder="0" applyAlignment="0" applyProtection="0"/>
    <xf numFmtId="0" fontId="44" fillId="26" borderId="0" applyNumberFormat="0" applyBorder="0" applyAlignment="0" applyProtection="0"/>
    <xf numFmtId="0" fontId="44" fillId="27" borderId="0" applyNumberFormat="0" applyBorder="0" applyAlignment="0" applyProtection="0"/>
    <xf numFmtId="0" fontId="44" fillId="28" borderId="0" applyNumberFormat="0" applyBorder="0" applyAlignment="0" applyProtection="0"/>
    <xf numFmtId="0" fontId="44" fillId="23" borderId="0" applyNumberFormat="0" applyBorder="0" applyAlignment="0" applyProtection="0"/>
    <xf numFmtId="0" fontId="44" fillId="26" borderId="0" applyNumberFormat="0" applyBorder="0" applyAlignment="0" applyProtection="0"/>
    <xf numFmtId="0" fontId="44" fillId="29" borderId="0" applyNumberFormat="0" applyBorder="0" applyAlignment="0" applyProtection="0"/>
    <xf numFmtId="0" fontId="44" fillId="26" borderId="0" applyNumberFormat="0" applyBorder="0" applyAlignment="0" applyProtection="0"/>
    <xf numFmtId="0" fontId="44" fillId="27" borderId="0" applyNumberFormat="0" applyBorder="0" applyAlignment="0" applyProtection="0"/>
    <xf numFmtId="0" fontId="44" fillId="28" borderId="0" applyNumberFormat="0" applyBorder="0" applyAlignment="0" applyProtection="0"/>
    <xf numFmtId="0" fontId="44" fillId="23" borderId="0" applyNumberFormat="0" applyBorder="0" applyAlignment="0" applyProtection="0"/>
    <xf numFmtId="0" fontId="44" fillId="26" borderId="0" applyNumberFormat="0" applyBorder="0" applyAlignment="0" applyProtection="0"/>
    <xf numFmtId="0" fontId="44" fillId="29" borderId="0" applyNumberFormat="0" applyBorder="0" applyAlignment="0" applyProtection="0"/>
    <xf numFmtId="0" fontId="45" fillId="30" borderId="0" applyNumberFormat="0" applyBorder="0" applyAlignment="0" applyProtection="0"/>
    <xf numFmtId="0" fontId="45" fillId="27" borderId="0" applyNumberFormat="0" applyBorder="0" applyAlignment="0" applyProtection="0"/>
    <xf numFmtId="0" fontId="45" fillId="28"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0" borderId="0" applyNumberFormat="0" applyBorder="0" applyAlignment="0" applyProtection="0"/>
    <xf numFmtId="0" fontId="45" fillId="27" borderId="0" applyNumberFormat="0" applyBorder="0" applyAlignment="0" applyProtection="0"/>
    <xf numFmtId="0" fontId="45" fillId="28"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1"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32" borderId="0" applyNumberFormat="0" applyBorder="0" applyAlignment="0" applyProtection="0"/>
    <xf numFmtId="0" fontId="45" fillId="37" borderId="0" applyNumberFormat="0" applyBorder="0" applyAlignment="0" applyProtection="0"/>
    <xf numFmtId="0" fontId="45" fillId="37" borderId="0" applyNumberFormat="0" applyBorder="0" applyAlignment="0" applyProtection="0"/>
    <xf numFmtId="0" fontId="46" fillId="38" borderId="46" applyNumberFormat="0" applyAlignment="0" applyProtection="0"/>
    <xf numFmtId="0" fontId="46" fillId="38" borderId="46" applyNumberFormat="0" applyAlignment="0" applyProtection="0"/>
    <xf numFmtId="0" fontId="47" fillId="38" borderId="47" applyNumberFormat="0" applyAlignment="0" applyProtection="0"/>
    <xf numFmtId="0" fontId="47" fillId="38" borderId="47" applyNumberFormat="0" applyAlignment="0" applyProtection="0"/>
    <xf numFmtId="0" fontId="48" fillId="25" borderId="47" applyNumberFormat="0" applyAlignment="0" applyProtection="0"/>
    <xf numFmtId="0" fontId="48" fillId="25" borderId="47" applyNumberFormat="0" applyAlignment="0" applyProtection="0"/>
    <xf numFmtId="0" fontId="49" fillId="0" borderId="48" applyNumberFormat="0" applyFill="0" applyAlignment="0" applyProtection="0"/>
    <xf numFmtId="0" fontId="49" fillId="0" borderId="48" applyNumberFormat="0" applyFill="0" applyAlignment="0" applyProtection="0"/>
    <xf numFmtId="0" fontId="50" fillId="0" borderId="0" applyNumberFormat="0" applyFill="0" applyBorder="0" applyAlignment="0" applyProtection="0"/>
    <xf numFmtId="0" fontId="50" fillId="0" borderId="0" applyNumberForma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0" fontId="51" fillId="22" borderId="0" applyNumberFormat="0" applyBorder="0" applyAlignment="0" applyProtection="0"/>
    <xf numFmtId="0" fontId="51" fillId="22" borderId="0" applyNumberFormat="0" applyBorder="0" applyAlignment="0" applyProtection="0"/>
    <xf numFmtId="0" fontId="52" fillId="0" borderId="0" applyNumberFormat="0" applyFill="0" applyBorder="0" applyAlignment="0" applyProtection="0">
      <alignment vertical="top"/>
      <protection locked="0"/>
    </xf>
    <xf numFmtId="0" fontId="52" fillId="0" borderId="0" applyNumberFormat="0" applyFill="0" applyBorder="0" applyAlignment="0" applyProtection="0">
      <alignment vertical="top"/>
      <protection locked="0"/>
    </xf>
    <xf numFmtId="0" fontId="53" fillId="39" borderId="0" applyNumberFormat="0" applyBorder="0" applyAlignment="0" applyProtection="0"/>
    <xf numFmtId="0" fontId="53" fillId="39" borderId="0" applyNumberFormat="0" applyBorder="0" applyAlignment="0" applyProtection="0"/>
    <xf numFmtId="49" fontId="3" fillId="0" borderId="0"/>
    <xf numFmtId="0" fontId="54" fillId="40" borderId="49" applyNumberFormat="0" applyFont="0" applyAlignment="0" applyProtection="0"/>
    <xf numFmtId="0" fontId="54" fillId="40" borderId="49" applyNumberFormat="0" applyFont="0" applyAlignment="0" applyProtection="0"/>
    <xf numFmtId="9" fontId="54" fillId="0" borderId="0" applyFont="0" applyFill="0" applyBorder="0" applyAlignment="0" applyProtection="0"/>
    <xf numFmtId="9" fontId="54" fillId="0" borderId="0" applyFont="0" applyFill="0" applyBorder="0" applyAlignment="0" applyProtection="0"/>
    <xf numFmtId="0" fontId="55" fillId="21" borderId="0" applyNumberFormat="0" applyBorder="0" applyAlignment="0" applyProtection="0"/>
    <xf numFmtId="0" fontId="55" fillId="21" borderId="0" applyNumberFormat="0" applyBorder="0" applyAlignment="0" applyProtection="0"/>
    <xf numFmtId="0" fontId="3" fillId="0" borderId="0"/>
    <xf numFmtId="0" fontId="3" fillId="0" borderId="0"/>
    <xf numFmtId="0" fontId="3" fillId="0" borderId="0"/>
    <xf numFmtId="0" fontId="54" fillId="0" borderId="0"/>
    <xf numFmtId="0" fontId="54" fillId="0" borderId="0"/>
    <xf numFmtId="0" fontId="54" fillId="0" borderId="0"/>
    <xf numFmtId="0" fontId="54" fillId="0" borderId="0"/>
    <xf numFmtId="0" fontId="54" fillId="0" borderId="0"/>
    <xf numFmtId="0" fontId="56" fillId="0" borderId="50" applyNumberFormat="0" applyFill="0" applyAlignment="0" applyProtection="0"/>
    <xf numFmtId="0" fontId="56" fillId="0" borderId="50" applyNumberFormat="0" applyFill="0" applyAlignment="0" applyProtection="0"/>
    <xf numFmtId="0" fontId="57" fillId="0" borderId="51" applyNumberFormat="0" applyFill="0" applyAlignment="0" applyProtection="0"/>
    <xf numFmtId="0" fontId="57" fillId="0" borderId="51" applyNumberFormat="0" applyFill="0" applyAlignment="0" applyProtection="0"/>
    <xf numFmtId="0" fontId="58" fillId="0" borderId="52" applyNumberFormat="0" applyFill="0" applyAlignment="0" applyProtection="0"/>
    <xf numFmtId="0" fontId="58" fillId="0" borderId="52" applyNumberFormat="0" applyFill="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0" fillId="0" borderId="0"/>
    <xf numFmtId="0" fontId="61" fillId="0" borderId="53" applyNumberFormat="0" applyFill="0" applyAlignment="0" applyProtection="0"/>
    <xf numFmtId="0" fontId="61" fillId="0" borderId="53" applyNumberFormat="0" applyFill="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3" fillId="41" borderId="54" applyNumberFormat="0" applyAlignment="0" applyProtection="0"/>
    <xf numFmtId="0" fontId="63" fillId="41" borderId="54" applyNumberFormat="0" applyAlignment="0" applyProtection="0"/>
    <xf numFmtId="0" fontId="3" fillId="0" borderId="0"/>
    <xf numFmtId="0" fontId="2" fillId="0" borderId="0"/>
    <xf numFmtId="0" fontId="3" fillId="0" borderId="0"/>
    <xf numFmtId="0" fontId="1" fillId="0" borderId="0"/>
    <xf numFmtId="0" fontId="1" fillId="0" borderId="0"/>
  </cellStyleXfs>
  <cellXfs count="801">
    <xf numFmtId="0" fontId="0" fillId="0" borderId="0" xfId="0"/>
    <xf numFmtId="0" fontId="6" fillId="2" borderId="0" xfId="0" applyFont="1" applyFill="1" applyProtection="1">
      <protection locked="0"/>
    </xf>
    <xf numFmtId="3" fontId="6" fillId="2" borderId="0" xfId="0" applyNumberFormat="1" applyFont="1" applyFill="1" applyProtection="1">
      <protection locked="0"/>
    </xf>
    <xf numFmtId="3" fontId="6" fillId="4" borderId="7" xfId="0" applyNumberFormat="1" applyFont="1" applyFill="1" applyBorder="1" applyProtection="1">
      <protection locked="0"/>
    </xf>
    <xf numFmtId="0" fontId="6" fillId="0" borderId="7" xfId="0" applyFont="1" applyBorder="1"/>
    <xf numFmtId="0" fontId="6" fillId="2" borderId="0" xfId="0" applyFont="1" applyFill="1" applyAlignment="1" applyProtection="1">
      <alignment horizontal="center" vertical="center"/>
      <protection locked="0"/>
    </xf>
    <xf numFmtId="0" fontId="6" fillId="4" borderId="5" xfId="0" applyFont="1" applyFill="1" applyBorder="1" applyAlignment="1" applyProtection="1">
      <alignment horizontal="center"/>
      <protection locked="0"/>
    </xf>
    <xf numFmtId="0" fontId="23" fillId="0" borderId="7" xfId="2" applyFont="1" applyBorder="1"/>
    <xf numFmtId="0" fontId="23" fillId="0" borderId="0" xfId="2" applyFont="1"/>
    <xf numFmtId="0" fontId="24" fillId="0" borderId="0" xfId="2" applyFont="1"/>
    <xf numFmtId="0" fontId="24" fillId="0" borderId="3" xfId="2" applyFont="1" applyBorder="1"/>
    <xf numFmtId="0" fontId="25" fillId="0" borderId="5" xfId="2" applyFont="1" applyBorder="1" applyAlignment="1">
      <alignment horizontal="center" wrapText="1"/>
    </xf>
    <xf numFmtId="0" fontId="23" fillId="0" borderId="3" xfId="2" applyFont="1" applyBorder="1"/>
    <xf numFmtId="0" fontId="24" fillId="0" borderId="5" xfId="2" applyFont="1" applyBorder="1"/>
    <xf numFmtId="22" fontId="23" fillId="0" borderId="5" xfId="2" applyNumberFormat="1" applyFont="1" applyBorder="1" applyAlignment="1">
      <alignment horizontal="center"/>
    </xf>
    <xf numFmtId="0" fontId="23" fillId="0" borderId="9" xfId="2" applyFont="1" applyBorder="1"/>
    <xf numFmtId="0" fontId="23" fillId="0" borderId="26" xfId="2" applyFont="1" applyBorder="1"/>
    <xf numFmtId="0" fontId="23" fillId="0" borderId="9" xfId="2" quotePrefix="1" applyFont="1" applyBorder="1"/>
    <xf numFmtId="0" fontId="23" fillId="0" borderId="26" xfId="2" quotePrefix="1" applyFont="1" applyBorder="1"/>
    <xf numFmtId="0" fontId="6" fillId="0" borderId="0" xfId="2" applyFont="1"/>
    <xf numFmtId="0" fontId="6" fillId="0" borderId="1" xfId="2" quotePrefix="1" applyFont="1" applyBorder="1"/>
    <xf numFmtId="0" fontId="5" fillId="0" borderId="0" xfId="2" applyFont="1"/>
    <xf numFmtId="0" fontId="6" fillId="0" borderId="6" xfId="2" quotePrefix="1" applyFont="1" applyBorder="1"/>
    <xf numFmtId="0" fontId="23" fillId="0" borderId="0" xfId="2" quotePrefix="1" applyFont="1"/>
    <xf numFmtId="4" fontId="23" fillId="0" borderId="0" xfId="2" applyNumberFormat="1" applyFont="1"/>
    <xf numFmtId="0" fontId="26" fillId="0" borderId="0" xfId="2" applyFont="1"/>
    <xf numFmtId="0" fontId="6" fillId="9" borderId="0" xfId="0" applyFont="1" applyFill="1"/>
    <xf numFmtId="0" fontId="6" fillId="0" borderId="0" xfId="0" applyFont="1"/>
    <xf numFmtId="3" fontId="6" fillId="9" borderId="22" xfId="0" applyNumberFormat="1" applyFont="1" applyFill="1" applyBorder="1" applyProtection="1">
      <protection locked="0"/>
    </xf>
    <xf numFmtId="3" fontId="6" fillId="9" borderId="11" xfId="0" applyNumberFormat="1" applyFont="1" applyFill="1" applyBorder="1" applyProtection="1">
      <protection locked="0"/>
    </xf>
    <xf numFmtId="3" fontId="6" fillId="4" borderId="0" xfId="0" applyNumberFormat="1" applyFont="1" applyFill="1" applyProtection="1">
      <protection locked="0"/>
    </xf>
    <xf numFmtId="0" fontId="23" fillId="4" borderId="0" xfId="2" applyFont="1" applyFill="1" applyProtection="1">
      <protection locked="0"/>
    </xf>
    <xf numFmtId="0" fontId="6" fillId="5" borderId="9" xfId="2" quotePrefix="1" applyFont="1" applyFill="1" applyBorder="1"/>
    <xf numFmtId="0" fontId="23" fillId="0" borderId="3" xfId="2" quotePrefix="1" applyFont="1" applyBorder="1" applyAlignment="1">
      <alignment vertical="center"/>
    </xf>
    <xf numFmtId="0" fontId="23" fillId="0" borderId="0" xfId="2" applyFont="1" applyAlignment="1">
      <alignment vertical="center"/>
    </xf>
    <xf numFmtId="0" fontId="6" fillId="0" borderId="8" xfId="2" quotePrefix="1" applyFont="1" applyBorder="1" applyAlignment="1">
      <alignment vertical="center"/>
    </xf>
    <xf numFmtId="0" fontId="23" fillId="0" borderId="0" xfId="2" applyFont="1" applyAlignment="1">
      <alignment vertical="center" wrapText="1"/>
    </xf>
    <xf numFmtId="0" fontId="5" fillId="0" borderId="1" xfId="2" quotePrefix="1" applyFont="1" applyBorder="1"/>
    <xf numFmtId="14" fontId="6" fillId="0" borderId="0" xfId="2" applyNumberFormat="1" applyFont="1" applyAlignment="1">
      <alignment horizontal="left"/>
    </xf>
    <xf numFmtId="0" fontId="23" fillId="0" borderId="26" xfId="2" applyFont="1" applyBorder="1" applyAlignment="1">
      <alignment vertical="center"/>
    </xf>
    <xf numFmtId="22" fontId="23" fillId="4" borderId="11" xfId="2" applyNumberFormat="1" applyFont="1" applyFill="1" applyBorder="1" applyAlignment="1" applyProtection="1">
      <alignment horizontal="center" wrapText="1"/>
      <protection locked="0"/>
    </xf>
    <xf numFmtId="0" fontId="5" fillId="0" borderId="0" xfId="0" applyFont="1"/>
    <xf numFmtId="0" fontId="23" fillId="0" borderId="5" xfId="2" applyFont="1" applyBorder="1"/>
    <xf numFmtId="0" fontId="23" fillId="0" borderId="0" xfId="2" quotePrefix="1" applyFont="1" applyAlignment="1">
      <alignment vertical="center"/>
    </xf>
    <xf numFmtId="4" fontId="23" fillId="0" borderId="0" xfId="2" applyNumberFormat="1" applyFont="1" applyAlignment="1">
      <alignment vertical="center"/>
    </xf>
    <xf numFmtId="0" fontId="27" fillId="0" borderId="0" xfId="2" applyFont="1"/>
    <xf numFmtId="0" fontId="23" fillId="0" borderId="0" xfId="2" applyFont="1" applyAlignment="1">
      <alignment horizontal="left"/>
    </xf>
    <xf numFmtId="0" fontId="6" fillId="0" borderId="16" xfId="0" applyFont="1" applyBorder="1" applyAlignment="1">
      <alignment horizontal="right" wrapText="1"/>
    </xf>
    <xf numFmtId="3" fontId="6" fillId="2" borderId="7" xfId="0" applyNumberFormat="1" applyFont="1" applyFill="1" applyBorder="1" applyProtection="1">
      <protection locked="0"/>
    </xf>
    <xf numFmtId="0" fontId="6" fillId="0" borderId="14" xfId="0" applyFont="1" applyBorder="1" applyAlignment="1">
      <alignment horizontal="right" wrapText="1"/>
    </xf>
    <xf numFmtId="3" fontId="6" fillId="2" borderId="13" xfId="0" applyNumberFormat="1" applyFont="1" applyFill="1" applyBorder="1" applyProtection="1">
      <protection locked="0"/>
    </xf>
    <xf numFmtId="3" fontId="6" fillId="2" borderId="20" xfId="0" applyNumberFormat="1" applyFont="1" applyFill="1" applyBorder="1" applyProtection="1">
      <protection locked="0"/>
    </xf>
    <xf numFmtId="0" fontId="6" fillId="5" borderId="8" xfId="2" applyFont="1" applyFill="1" applyBorder="1" applyAlignment="1">
      <alignment wrapText="1"/>
    </xf>
    <xf numFmtId="0" fontId="24" fillId="0" borderId="0" xfId="2" applyFont="1" applyAlignment="1">
      <alignment vertical="center"/>
    </xf>
    <xf numFmtId="0" fontId="6" fillId="5" borderId="8" xfId="2" applyFont="1" applyFill="1" applyBorder="1" applyAlignment="1">
      <alignment vertical="center" wrapText="1"/>
    </xf>
    <xf numFmtId="0" fontId="23" fillId="0" borderId="0" xfId="2" quotePrefix="1" applyFont="1" applyAlignment="1">
      <alignment horizontal="left" vertical="center"/>
    </xf>
    <xf numFmtId="4" fontId="23" fillId="0" borderId="0" xfId="2" applyNumberFormat="1" applyFont="1" applyAlignment="1">
      <alignment horizontal="left" vertical="center"/>
    </xf>
    <xf numFmtId="22" fontId="23" fillId="9" borderId="5" xfId="2" applyNumberFormat="1" applyFont="1" applyFill="1" applyBorder="1" applyAlignment="1" applyProtection="1">
      <alignment horizontal="center" wrapText="1"/>
      <protection locked="0"/>
    </xf>
    <xf numFmtId="0" fontId="6" fillId="0" borderId="0" xfId="0" applyFont="1" applyAlignment="1">
      <alignment vertical="top"/>
    </xf>
    <xf numFmtId="0" fontId="6" fillId="12" borderId="0" xfId="0" applyFont="1" applyFill="1"/>
    <xf numFmtId="0" fontId="6" fillId="11" borderId="0" xfId="0" applyFont="1" applyFill="1"/>
    <xf numFmtId="0" fontId="6" fillId="5" borderId="0" xfId="2" quotePrefix="1" applyFont="1" applyFill="1"/>
    <xf numFmtId="0" fontId="23" fillId="6" borderId="0" xfId="2" applyFont="1" applyFill="1"/>
    <xf numFmtId="4" fontId="6" fillId="4" borderId="12" xfId="0" applyNumberFormat="1" applyFont="1" applyFill="1" applyBorder="1" applyProtection="1">
      <protection locked="0"/>
    </xf>
    <xf numFmtId="4" fontId="6" fillId="4" borderId="1" xfId="0" applyNumberFormat="1" applyFont="1" applyFill="1" applyBorder="1" applyProtection="1">
      <protection locked="0"/>
    </xf>
    <xf numFmtId="0" fontId="6" fillId="13" borderId="0" xfId="0" applyFont="1" applyFill="1"/>
    <xf numFmtId="3" fontId="6" fillId="0" borderId="0" xfId="0" applyNumberFormat="1" applyFont="1"/>
    <xf numFmtId="4" fontId="12" fillId="0" borderId="0" xfId="0" applyNumberFormat="1" applyFont="1" applyAlignment="1">
      <alignment horizontal="right"/>
    </xf>
    <xf numFmtId="3" fontId="6" fillId="0" borderId="0" xfId="0" applyNumberFormat="1" applyFont="1" applyAlignment="1">
      <alignment horizontal="right"/>
    </xf>
    <xf numFmtId="0" fontId="6" fillId="0" borderId="0" xfId="0" applyFont="1" applyAlignment="1">
      <alignment horizontal="center"/>
    </xf>
    <xf numFmtId="4" fontId="6" fillId="0" borderId="0" xfId="0" applyNumberFormat="1" applyFont="1"/>
    <xf numFmtId="4" fontId="6" fillId="0" borderId="0" xfId="0" applyNumberFormat="1" applyFont="1" applyAlignment="1">
      <alignment horizontal="center"/>
    </xf>
    <xf numFmtId="0" fontId="6" fillId="0" borderId="0" xfId="0" applyFont="1" applyAlignment="1">
      <alignment horizontal="center" vertical="center"/>
    </xf>
    <xf numFmtId="0" fontId="6" fillId="0" borderId="17" xfId="0" applyFont="1" applyBorder="1"/>
    <xf numFmtId="0" fontId="6" fillId="0" borderId="18" xfId="0" applyFont="1" applyBorder="1"/>
    <xf numFmtId="0" fontId="6" fillId="0" borderId="24" xfId="0" applyFont="1" applyBorder="1"/>
    <xf numFmtId="0" fontId="6" fillId="0" borderId="13" xfId="0" applyFont="1" applyBorder="1"/>
    <xf numFmtId="0" fontId="6" fillId="0" borderId="28" xfId="0" applyFont="1" applyBorder="1"/>
    <xf numFmtId="0" fontId="6" fillId="0" borderId="14" xfId="0" applyFont="1" applyBorder="1"/>
    <xf numFmtId="0" fontId="6" fillId="0" borderId="16" xfId="0" applyFont="1" applyBorder="1"/>
    <xf numFmtId="0" fontId="6" fillId="0" borderId="29" xfId="0" applyFont="1" applyBorder="1"/>
    <xf numFmtId="3" fontId="6" fillId="0" borderId="17" xfId="0" applyNumberFormat="1" applyFont="1" applyBorder="1"/>
    <xf numFmtId="4" fontId="6" fillId="0" borderId="18" xfId="0" applyNumberFormat="1" applyFont="1" applyBorder="1" applyAlignment="1">
      <alignment horizontal="center"/>
    </xf>
    <xf numFmtId="3" fontId="6" fillId="0" borderId="24" xfId="0" applyNumberFormat="1" applyFont="1" applyBorder="1"/>
    <xf numFmtId="3" fontId="6" fillId="0" borderId="13" xfId="0" applyNumberFormat="1" applyFont="1" applyBorder="1"/>
    <xf numFmtId="3" fontId="6" fillId="0" borderId="28" xfId="0" applyNumberFormat="1" applyFont="1" applyBorder="1"/>
    <xf numFmtId="4" fontId="6" fillId="0" borderId="13" xfId="0" applyNumberFormat="1" applyFont="1" applyBorder="1"/>
    <xf numFmtId="4" fontId="6" fillId="0" borderId="28" xfId="0" applyNumberFormat="1" applyFont="1" applyBorder="1"/>
    <xf numFmtId="4" fontId="6" fillId="0" borderId="14" xfId="0" applyNumberFormat="1" applyFont="1" applyBorder="1"/>
    <xf numFmtId="4" fontId="6" fillId="0" borderId="29" xfId="0" applyNumberFormat="1" applyFont="1" applyBorder="1"/>
    <xf numFmtId="4" fontId="6" fillId="0" borderId="16" xfId="0" applyNumberFormat="1" applyFont="1" applyBorder="1" applyAlignment="1">
      <alignment horizontal="center"/>
    </xf>
    <xf numFmtId="4" fontId="6" fillId="0" borderId="22" xfId="0" applyNumberFormat="1" applyFont="1" applyBorder="1"/>
    <xf numFmtId="0" fontId="28" fillId="0" borderId="0" xfId="2" applyFont="1" applyAlignment="1">
      <alignment vertical="top"/>
    </xf>
    <xf numFmtId="0" fontId="23" fillId="0" borderId="0" xfId="2" applyFont="1" applyAlignment="1">
      <alignment vertical="top"/>
    </xf>
    <xf numFmtId="4" fontId="6" fillId="4" borderId="9" xfId="0" applyNumberFormat="1" applyFont="1" applyFill="1" applyBorder="1" applyAlignment="1" applyProtection="1">
      <alignment horizontal="right"/>
      <protection locked="0"/>
    </xf>
    <xf numFmtId="4" fontId="6" fillId="4" borderId="22" xfId="0" applyNumberFormat="1" applyFont="1" applyFill="1" applyBorder="1" applyAlignment="1" applyProtection="1">
      <alignment horizontal="right"/>
      <protection locked="0"/>
    </xf>
    <xf numFmtId="168" fontId="23" fillId="9" borderId="2" xfId="2" applyNumberFormat="1" applyFont="1" applyFill="1" applyBorder="1" applyProtection="1">
      <protection locked="0"/>
    </xf>
    <xf numFmtId="168" fontId="23" fillId="9" borderId="26" xfId="2" applyNumberFormat="1" applyFont="1" applyFill="1" applyBorder="1" applyProtection="1">
      <protection locked="0"/>
    </xf>
    <xf numFmtId="168" fontId="6" fillId="9" borderId="26" xfId="2" applyNumberFormat="1" applyFont="1" applyFill="1" applyBorder="1" applyProtection="1">
      <protection locked="0"/>
    </xf>
    <xf numFmtId="168" fontId="6" fillId="0" borderId="26" xfId="2" applyNumberFormat="1" applyFont="1" applyBorder="1"/>
    <xf numFmtId="168" fontId="24" fillId="0" borderId="2" xfId="2" applyNumberFormat="1" applyFont="1" applyBorder="1"/>
    <xf numFmtId="168" fontId="23" fillId="0" borderId="5" xfId="2" applyNumberFormat="1" applyFont="1" applyBorder="1" applyAlignment="1">
      <alignment vertical="center"/>
    </xf>
    <xf numFmtId="168" fontId="23" fillId="0" borderId="26" xfId="2" applyNumberFormat="1" applyFont="1" applyBorder="1"/>
    <xf numFmtId="168" fontId="23" fillId="0" borderId="26" xfId="2" applyNumberFormat="1" applyFont="1" applyBorder="1" applyAlignment="1">
      <alignment vertical="center"/>
    </xf>
    <xf numFmtId="168" fontId="23" fillId="0" borderId="2" xfId="2" applyNumberFormat="1" applyFont="1" applyBorder="1" applyAlignment="1">
      <alignment vertical="center"/>
    </xf>
    <xf numFmtId="168" fontId="23" fillId="0" borderId="8" xfId="2" applyNumberFormat="1" applyFont="1" applyBorder="1" applyAlignment="1">
      <alignment vertical="center"/>
    </xf>
    <xf numFmtId="168" fontId="23" fillId="0" borderId="2" xfId="2" applyNumberFormat="1" applyFont="1" applyBorder="1"/>
    <xf numFmtId="168" fontId="23" fillId="9" borderId="26" xfId="2" applyNumberFormat="1" applyFont="1" applyFill="1" applyBorder="1" applyAlignment="1" applyProtection="1">
      <alignment vertical="center"/>
      <protection locked="0"/>
    </xf>
    <xf numFmtId="4" fontId="6" fillId="4" borderId="22" xfId="0" applyNumberFormat="1" applyFont="1" applyFill="1" applyBorder="1" applyProtection="1">
      <protection locked="0"/>
    </xf>
    <xf numFmtId="3" fontId="6" fillId="4" borderId="22" xfId="0" applyNumberFormat="1" applyFont="1" applyFill="1" applyBorder="1" applyProtection="1">
      <protection locked="0"/>
    </xf>
    <xf numFmtId="14" fontId="6" fillId="4" borderId="0" xfId="0" applyNumberFormat="1" applyFont="1" applyFill="1" applyProtection="1">
      <protection locked="0"/>
    </xf>
    <xf numFmtId="168" fontId="6" fillId="4" borderId="0" xfId="0" applyNumberFormat="1" applyFont="1" applyFill="1" applyProtection="1">
      <protection locked="0"/>
    </xf>
    <xf numFmtId="22" fontId="23" fillId="4" borderId="12" xfId="2" applyNumberFormat="1" applyFont="1" applyFill="1" applyBorder="1" applyAlignment="1" applyProtection="1">
      <alignment horizontal="center" wrapText="1"/>
      <protection locked="0"/>
    </xf>
    <xf numFmtId="168" fontId="6" fillId="4" borderId="22" xfId="0" applyNumberFormat="1" applyFont="1" applyFill="1" applyBorder="1" applyProtection="1">
      <protection locked="0"/>
    </xf>
    <xf numFmtId="168" fontId="6" fillId="4" borderId="11" xfId="0" applyNumberFormat="1" applyFont="1" applyFill="1" applyBorder="1" applyProtection="1">
      <protection locked="0"/>
    </xf>
    <xf numFmtId="168" fontId="6" fillId="4" borderId="12" xfId="0" applyNumberFormat="1" applyFont="1" applyFill="1" applyBorder="1" applyProtection="1">
      <protection locked="0"/>
    </xf>
    <xf numFmtId="168" fontId="6" fillId="2" borderId="11" xfId="0" applyNumberFormat="1" applyFont="1" applyFill="1" applyBorder="1" applyProtection="1">
      <protection locked="0"/>
    </xf>
    <xf numFmtId="0" fontId="6" fillId="4" borderId="18" xfId="0" applyFont="1" applyFill="1" applyBorder="1" applyAlignment="1" applyProtection="1">
      <alignment horizontal="center" wrapText="1"/>
      <protection locked="0"/>
    </xf>
    <xf numFmtId="4" fontId="6" fillId="10" borderId="22" xfId="0" applyNumberFormat="1" applyFont="1" applyFill="1" applyBorder="1"/>
    <xf numFmtId="14" fontId="6" fillId="0" borderId="0" xfId="2" applyNumberFormat="1" applyFont="1" applyAlignment="1">
      <alignment horizontal="left" wrapText="1"/>
    </xf>
    <xf numFmtId="0" fontId="3" fillId="0" borderId="57" xfId="161" applyBorder="1" applyAlignment="1">
      <alignment horizontal="left" vertical="center"/>
    </xf>
    <xf numFmtId="0" fontId="64" fillId="0" borderId="0" xfId="161" applyFont="1" applyAlignment="1">
      <alignment vertical="center"/>
    </xf>
    <xf numFmtId="0" fontId="65" fillId="0" borderId="0" xfId="161" applyFont="1" applyAlignment="1">
      <alignment vertical="center"/>
    </xf>
    <xf numFmtId="0" fontId="3" fillId="0" borderId="56" xfId="161" applyBorder="1" applyAlignment="1">
      <alignment vertical="center"/>
    </xf>
    <xf numFmtId="0" fontId="3" fillId="0" borderId="57" xfId="161" applyBorder="1" applyAlignment="1">
      <alignment vertical="center"/>
    </xf>
    <xf numFmtId="4" fontId="6" fillId="2" borderId="0" xfId="0" applyNumberFormat="1" applyFont="1" applyFill="1" applyProtection="1">
      <protection locked="0"/>
    </xf>
    <xf numFmtId="4" fontId="6" fillId="2" borderId="4" xfId="0" applyNumberFormat="1" applyFont="1" applyFill="1" applyBorder="1" applyProtection="1">
      <protection locked="0"/>
    </xf>
    <xf numFmtId="4" fontId="6" fillId="2" borderId="10" xfId="0" applyNumberFormat="1" applyFont="1" applyFill="1" applyBorder="1" applyProtection="1">
      <protection locked="0"/>
    </xf>
    <xf numFmtId="4" fontId="6" fillId="2" borderId="39" xfId="0" applyNumberFormat="1" applyFont="1" applyFill="1" applyBorder="1" applyProtection="1">
      <protection locked="0"/>
    </xf>
    <xf numFmtId="4" fontId="6" fillId="2" borderId="12" xfId="0" applyNumberFormat="1" applyFont="1" applyFill="1" applyBorder="1" applyProtection="1">
      <protection locked="0"/>
    </xf>
    <xf numFmtId="4" fontId="6" fillId="2" borderId="22" xfId="0" applyNumberFormat="1" applyFont="1" applyFill="1" applyBorder="1" applyProtection="1">
      <protection locked="0"/>
    </xf>
    <xf numFmtId="4" fontId="6" fillId="2" borderId="7" xfId="0" applyNumberFormat="1" applyFont="1" applyFill="1" applyBorder="1" applyProtection="1">
      <protection locked="0"/>
    </xf>
    <xf numFmtId="4" fontId="6" fillId="2" borderId="11" xfId="0" applyNumberFormat="1" applyFont="1" applyFill="1" applyBorder="1" applyProtection="1">
      <protection locked="0"/>
    </xf>
    <xf numFmtId="168" fontId="6" fillId="4" borderId="66" xfId="0" applyNumberFormat="1" applyFont="1" applyFill="1" applyBorder="1" applyProtection="1">
      <protection locked="0"/>
    </xf>
    <xf numFmtId="0" fontId="6" fillId="2" borderId="66" xfId="0" applyFont="1" applyFill="1" applyBorder="1" applyProtection="1">
      <protection locked="0"/>
    </xf>
    <xf numFmtId="3" fontId="6" fillId="9" borderId="39" xfId="0" applyNumberFormat="1" applyFont="1" applyFill="1" applyBorder="1" applyAlignment="1" applyProtection="1">
      <alignment horizontal="center"/>
      <protection locked="0"/>
    </xf>
    <xf numFmtId="3" fontId="6" fillId="9" borderId="0" xfId="0" applyNumberFormat="1" applyFont="1" applyFill="1" applyAlignment="1" applyProtection="1">
      <alignment horizontal="center"/>
      <protection locked="0"/>
    </xf>
    <xf numFmtId="3" fontId="6" fillId="9" borderId="7" xfId="0" applyNumberFormat="1" applyFont="1" applyFill="1" applyBorder="1" applyAlignment="1" applyProtection="1">
      <alignment horizontal="center"/>
      <protection locked="0"/>
    </xf>
    <xf numFmtId="0" fontId="6" fillId="4" borderId="0" xfId="1" applyNumberFormat="1" applyFont="1" applyFill="1" applyBorder="1" applyAlignment="1" applyProtection="1">
      <alignment horizontal="center"/>
      <protection locked="0"/>
    </xf>
    <xf numFmtId="4" fontId="6" fillId="9" borderId="0" xfId="0" applyNumberFormat="1" applyFont="1" applyFill="1" applyProtection="1">
      <protection locked="0"/>
    </xf>
    <xf numFmtId="4" fontId="6" fillId="9" borderId="0" xfId="1" applyNumberFormat="1" applyFont="1" applyFill="1" applyBorder="1" applyProtection="1">
      <protection locked="0"/>
    </xf>
    <xf numFmtId="1" fontId="6" fillId="4" borderId="0" xfId="0" applyNumberFormat="1" applyFont="1" applyFill="1" applyAlignment="1" applyProtection="1">
      <alignment horizontal="left"/>
      <protection locked="0"/>
    </xf>
    <xf numFmtId="4" fontId="6" fillId="10" borderId="11" xfId="0" applyNumberFormat="1" applyFont="1" applyFill="1" applyBorder="1"/>
    <xf numFmtId="3" fontId="6" fillId="0" borderId="9" xfId="0" applyNumberFormat="1" applyFont="1" applyBorder="1"/>
    <xf numFmtId="168" fontId="6" fillId="9" borderId="12" xfId="0" applyNumberFormat="1" applyFont="1" applyFill="1" applyBorder="1" applyProtection="1">
      <protection locked="0"/>
    </xf>
    <xf numFmtId="3" fontId="6" fillId="9" borderId="0" xfId="0" applyNumberFormat="1" applyFont="1" applyFill="1" applyProtection="1">
      <protection locked="0"/>
    </xf>
    <xf numFmtId="3" fontId="6" fillId="4" borderId="13" xfId="0" applyNumberFormat="1" applyFont="1" applyFill="1" applyBorder="1" applyProtection="1">
      <protection locked="0"/>
    </xf>
    <xf numFmtId="3" fontId="6" fillId="4" borderId="20" xfId="0" applyNumberFormat="1" applyFont="1" applyFill="1" applyBorder="1" applyProtection="1">
      <protection locked="0"/>
    </xf>
    <xf numFmtId="22" fontId="23" fillId="4" borderId="12" xfId="2" applyNumberFormat="1" applyFont="1" applyFill="1" applyBorder="1" applyAlignment="1" applyProtection="1">
      <alignment horizontal="right" wrapText="1"/>
      <protection locked="0"/>
    </xf>
    <xf numFmtId="0" fontId="6" fillId="4" borderId="66" xfId="0" applyFont="1" applyFill="1" applyBorder="1" applyAlignment="1" applyProtection="1">
      <alignment vertical="center" wrapText="1"/>
      <protection locked="0"/>
    </xf>
    <xf numFmtId="3" fontId="6" fillId="4" borderId="0" xfId="0" applyNumberFormat="1" applyFont="1" applyFill="1" applyAlignment="1" applyProtection="1">
      <alignment vertical="center"/>
      <protection locked="0"/>
    </xf>
    <xf numFmtId="0" fontId="12" fillId="2" borderId="66" xfId="0" applyFont="1" applyFill="1" applyBorder="1" applyProtection="1">
      <protection locked="0"/>
    </xf>
    <xf numFmtId="0" fontId="6" fillId="4" borderId="0" xfId="0" applyFont="1" applyFill="1" applyAlignment="1" applyProtection="1">
      <alignment horizontal="center"/>
      <protection locked="0"/>
    </xf>
    <xf numFmtId="0" fontId="12" fillId="4" borderId="0" xfId="0" applyFont="1" applyFill="1" applyAlignment="1" applyProtection="1">
      <alignment horizontal="left"/>
      <protection locked="0"/>
    </xf>
    <xf numFmtId="0" fontId="6" fillId="4" borderId="64" xfId="0" applyFont="1" applyFill="1" applyBorder="1" applyAlignment="1" applyProtection="1">
      <alignment horizontal="center" wrapText="1"/>
      <protection locked="0"/>
    </xf>
    <xf numFmtId="0" fontId="6" fillId="4" borderId="16" xfId="0" applyFont="1" applyFill="1" applyBorder="1" applyAlignment="1" applyProtection="1">
      <alignment horizontal="center" wrapText="1"/>
      <protection locked="0"/>
    </xf>
    <xf numFmtId="3" fontId="6" fillId="4" borderId="0" xfId="1" applyNumberFormat="1" applyFont="1" applyFill="1" applyBorder="1" applyAlignment="1" applyProtection="1">
      <alignment horizontal="center" vertical="center"/>
      <protection locked="0"/>
    </xf>
    <xf numFmtId="22" fontId="23" fillId="9" borderId="12" xfId="2" applyNumberFormat="1" applyFont="1" applyFill="1" applyBorder="1" applyAlignment="1" applyProtection="1">
      <alignment horizontal="center" wrapText="1"/>
      <protection locked="0"/>
    </xf>
    <xf numFmtId="168" fontId="6" fillId="9" borderId="22" xfId="0" applyNumberFormat="1" applyFont="1" applyFill="1" applyBorder="1" applyProtection="1">
      <protection locked="0"/>
    </xf>
    <xf numFmtId="168" fontId="6" fillId="9" borderId="11" xfId="0" applyNumberFormat="1" applyFont="1" applyFill="1" applyBorder="1" applyProtection="1">
      <protection locked="0"/>
    </xf>
    <xf numFmtId="0" fontId="6" fillId="7" borderId="0" xfId="2" quotePrefix="1" applyFont="1" applyFill="1"/>
    <xf numFmtId="0" fontId="6" fillId="7" borderId="0" xfId="2" quotePrefix="1" applyFont="1" applyFill="1" applyAlignment="1">
      <alignment wrapText="1"/>
    </xf>
    <xf numFmtId="0" fontId="6" fillId="8" borderId="0" xfId="2" applyFont="1" applyFill="1"/>
    <xf numFmtId="4" fontId="6" fillId="15" borderId="0" xfId="0" applyNumberFormat="1" applyFont="1" applyFill="1"/>
    <xf numFmtId="4" fontId="6" fillId="17" borderId="0" xfId="0" applyNumberFormat="1" applyFont="1" applyFill="1"/>
    <xf numFmtId="3" fontId="27" fillId="10" borderId="0" xfId="0" applyNumberFormat="1" applyFont="1" applyFill="1"/>
    <xf numFmtId="0" fontId="6" fillId="0" borderId="0" xfId="0" applyFont="1" applyAlignment="1">
      <alignment horizontal="left" vertical="top" wrapText="1"/>
    </xf>
    <xf numFmtId="0" fontId="12" fillId="0" borderId="0" xfId="0" applyFont="1" applyAlignment="1">
      <alignment horizontal="left" wrapText="1"/>
    </xf>
    <xf numFmtId="0" fontId="12" fillId="0" borderId="0" xfId="0" applyFont="1" applyAlignment="1">
      <alignment vertical="top"/>
    </xf>
    <xf numFmtId="0" fontId="12" fillId="0" borderId="0" xfId="0" applyFont="1" applyAlignment="1">
      <alignment horizontal="left" vertical="top" wrapText="1"/>
    </xf>
    <xf numFmtId="0" fontId="6" fillId="0" borderId="0" xfId="0" quotePrefix="1" applyFont="1"/>
    <xf numFmtId="0" fontId="12" fillId="0" borderId="0" xfId="0" quotePrefix="1" applyFont="1"/>
    <xf numFmtId="0" fontId="12" fillId="0" borderId="0" xfId="0" applyFont="1" applyAlignment="1">
      <alignment vertical="top" wrapText="1"/>
    </xf>
    <xf numFmtId="0" fontId="6" fillId="0" borderId="0" xfId="0" applyFont="1" applyAlignment="1">
      <alignment vertical="center" wrapText="1"/>
    </xf>
    <xf numFmtId="0" fontId="6" fillId="0" borderId="0" xfId="0" applyFont="1" applyAlignment="1">
      <alignment vertical="center"/>
    </xf>
    <xf numFmtId="0" fontId="12" fillId="0" borderId="0" xfId="0" quotePrefix="1" applyFont="1" applyAlignment="1">
      <alignment vertical="top"/>
    </xf>
    <xf numFmtId="0" fontId="12" fillId="0" borderId="0" xfId="0" applyFont="1"/>
    <xf numFmtId="0" fontId="6" fillId="0" borderId="0" xfId="0" applyFont="1" applyAlignment="1">
      <alignment wrapText="1"/>
    </xf>
    <xf numFmtId="0" fontId="13" fillId="0" borderId="0" xfId="0" applyFont="1" applyAlignment="1">
      <alignment vertical="top"/>
    </xf>
    <xf numFmtId="0" fontId="12" fillId="0" borderId="0" xfId="0" applyFont="1" applyAlignment="1">
      <alignment horizontal="left" vertical="top"/>
    </xf>
    <xf numFmtId="0" fontId="6" fillId="4" borderId="0" xfId="0" applyFont="1" applyFill="1" applyProtection="1">
      <protection locked="0"/>
    </xf>
    <xf numFmtId="0" fontId="6" fillId="9" borderId="0" xfId="0" applyFont="1" applyFill="1" applyProtection="1">
      <protection locked="0"/>
    </xf>
    <xf numFmtId="0" fontId="27" fillId="0" borderId="0" xfId="0" applyFont="1"/>
    <xf numFmtId="0" fontId="6" fillId="0" borderId="17" xfId="0" applyFont="1" applyBorder="1" applyAlignment="1">
      <alignment horizontal="right" vertical="top" wrapText="1"/>
    </xf>
    <xf numFmtId="0" fontId="6" fillId="0" borderId="41" xfId="0" applyFont="1" applyBorder="1" applyAlignment="1">
      <alignment horizontal="right" vertical="top" wrapText="1"/>
    </xf>
    <xf numFmtId="0" fontId="6" fillId="13" borderId="21" xfId="0" applyFont="1" applyFill="1" applyBorder="1" applyAlignment="1">
      <alignment horizontal="right" vertical="top" wrapText="1"/>
    </xf>
    <xf numFmtId="0" fontId="6" fillId="0" borderId="40" xfId="0" applyFont="1" applyBorder="1" applyAlignment="1">
      <alignment horizontal="right" vertical="top" wrapText="1"/>
    </xf>
    <xf numFmtId="0" fontId="6" fillId="0" borderId="18" xfId="0" applyFont="1" applyBorder="1" applyAlignment="1">
      <alignment horizontal="right" vertical="top" wrapText="1"/>
    </xf>
    <xf numFmtId="0" fontId="6" fillId="13" borderId="41" xfId="0" applyFont="1" applyFill="1" applyBorder="1" applyAlignment="1">
      <alignment horizontal="right" vertical="top" wrapText="1"/>
    </xf>
    <xf numFmtId="0" fontId="6" fillId="0" borderId="19" xfId="0" applyFont="1" applyBorder="1" applyAlignment="1">
      <alignment horizontal="right" vertical="top" wrapText="1"/>
    </xf>
    <xf numFmtId="0" fontId="6" fillId="0" borderId="27" xfId="0" applyFont="1" applyBorder="1" applyAlignment="1">
      <alignment horizontal="right" vertical="center"/>
    </xf>
    <xf numFmtId="0" fontId="6" fillId="0" borderId="55" xfId="0" applyFont="1" applyBorder="1" applyAlignment="1">
      <alignment horizontal="right" vertical="center"/>
    </xf>
    <xf numFmtId="0" fontId="12" fillId="0" borderId="27" xfId="0" applyFont="1" applyBorder="1" applyAlignment="1">
      <alignment horizontal="right" vertical="center" wrapText="1"/>
    </xf>
    <xf numFmtId="0" fontId="12" fillId="0" borderId="4" xfId="0" applyFont="1" applyBorder="1" applyAlignment="1">
      <alignment horizontal="right" vertical="center" wrapText="1"/>
    </xf>
    <xf numFmtId="0" fontId="12" fillId="0" borderId="4" xfId="0" applyFont="1" applyBorder="1" applyAlignment="1">
      <alignment horizontal="right" vertical="center"/>
    </xf>
    <xf numFmtId="0" fontId="12" fillId="13" borderId="10" xfId="0" applyFont="1" applyFill="1" applyBorder="1" applyAlignment="1">
      <alignment horizontal="right" vertical="center" wrapText="1"/>
    </xf>
    <xf numFmtId="0" fontId="12" fillId="0" borderId="31" xfId="0" applyFont="1" applyBorder="1" applyAlignment="1">
      <alignment horizontal="right" vertical="center" wrapText="1"/>
    </xf>
    <xf numFmtId="0" fontId="12" fillId="13" borderId="4" xfId="0" applyFont="1" applyFill="1" applyBorder="1" applyAlignment="1">
      <alignment horizontal="right" vertical="center" wrapText="1"/>
    </xf>
    <xf numFmtId="0" fontId="12" fillId="0" borderId="10" xfId="0" applyFont="1" applyBorder="1" applyAlignment="1">
      <alignment horizontal="right" vertical="center"/>
    </xf>
    <xf numFmtId="0" fontId="12" fillId="0" borderId="5" xfId="0" applyFont="1" applyBorder="1" applyAlignment="1">
      <alignment horizontal="right" vertical="center" wrapText="1"/>
    </xf>
    <xf numFmtId="0" fontId="6" fillId="0" borderId="0" xfId="0" applyFont="1" applyAlignment="1">
      <alignment horizontal="right" vertical="center"/>
    </xf>
    <xf numFmtId="0" fontId="6" fillId="0" borderId="15" xfId="0" applyFont="1" applyBorder="1" applyAlignment="1">
      <alignment horizontal="right" wrapText="1"/>
    </xf>
    <xf numFmtId="0" fontId="6" fillId="0" borderId="32" xfId="0" applyFont="1" applyBorder="1" applyAlignment="1">
      <alignment horizontal="right" wrapText="1"/>
    </xf>
    <xf numFmtId="0" fontId="6" fillId="0" borderId="30" xfId="0" applyFont="1" applyBorder="1" applyAlignment="1">
      <alignment horizontal="right" wrapText="1"/>
    </xf>
    <xf numFmtId="0" fontId="6" fillId="0" borderId="32" xfId="0" applyFont="1" applyBorder="1"/>
    <xf numFmtId="0" fontId="6" fillId="0" borderId="28" xfId="0" applyFont="1" applyBorder="1" applyAlignment="1">
      <alignment horizontal="center"/>
    </xf>
    <xf numFmtId="3" fontId="6" fillId="0" borderId="22" xfId="0" applyNumberFormat="1" applyFont="1" applyBorder="1"/>
    <xf numFmtId="3" fontId="6" fillId="0" borderId="33" xfId="0" applyNumberFormat="1" applyFont="1" applyBorder="1"/>
    <xf numFmtId="3" fontId="6" fillId="0" borderId="26" xfId="0" applyNumberFormat="1" applyFont="1" applyBorder="1"/>
    <xf numFmtId="10" fontId="6" fillId="0" borderId="33" xfId="0" applyNumberFormat="1" applyFont="1" applyBorder="1"/>
    <xf numFmtId="0" fontId="6" fillId="0" borderId="20" xfId="0" applyFont="1" applyBorder="1"/>
    <xf numFmtId="0" fontId="6" fillId="0" borderId="25" xfId="0" applyFont="1" applyBorder="1" applyAlignment="1">
      <alignment horizontal="center"/>
    </xf>
    <xf numFmtId="3" fontId="6" fillId="0" borderId="7" xfId="0" applyNumberFormat="1" applyFont="1" applyBorder="1"/>
    <xf numFmtId="3" fontId="6" fillId="3" borderId="11" xfId="0" applyNumberFormat="1" applyFont="1" applyFill="1" applyBorder="1"/>
    <xf numFmtId="3" fontId="6" fillId="3" borderId="7" xfId="0" applyNumberFormat="1" applyFont="1" applyFill="1" applyBorder="1"/>
    <xf numFmtId="0" fontId="6" fillId="0" borderId="34" xfId="0" applyFont="1" applyBorder="1"/>
    <xf numFmtId="0" fontId="6" fillId="0" borderId="38" xfId="0" applyFont="1" applyBorder="1"/>
    <xf numFmtId="3" fontId="6" fillId="0" borderId="34" xfId="0" applyNumberFormat="1" applyFont="1" applyBorder="1"/>
    <xf numFmtId="3" fontId="6" fillId="0" borderId="35" xfId="0" applyNumberFormat="1" applyFont="1" applyBorder="1"/>
    <xf numFmtId="3" fontId="6" fillId="3" borderId="36" xfId="0" applyNumberFormat="1" applyFont="1" applyFill="1" applyBorder="1"/>
    <xf numFmtId="3" fontId="6" fillId="0" borderId="37" xfId="0" applyNumberFormat="1" applyFont="1" applyBorder="1"/>
    <xf numFmtId="3" fontId="6" fillId="3" borderId="35" xfId="0" applyNumberFormat="1" applyFont="1" applyFill="1" applyBorder="1"/>
    <xf numFmtId="3" fontId="6" fillId="0" borderId="36" xfId="0" applyNumberFormat="1" applyFont="1" applyBorder="1"/>
    <xf numFmtId="10" fontId="6" fillId="0" borderId="37" xfId="0" applyNumberFormat="1" applyFont="1" applyBorder="1"/>
    <xf numFmtId="0" fontId="12" fillId="0" borderId="0" xfId="0" applyFont="1" applyAlignment="1">
      <alignment horizontal="center"/>
    </xf>
    <xf numFmtId="10" fontId="6" fillId="0" borderId="0" xfId="0" applyNumberFormat="1" applyFont="1" applyAlignment="1">
      <alignment horizontal="center"/>
    </xf>
    <xf numFmtId="4" fontId="12" fillId="13" borderId="0" xfId="0" applyNumberFormat="1" applyFont="1" applyFill="1" applyAlignment="1">
      <alignment horizontal="right"/>
    </xf>
    <xf numFmtId="9" fontId="6" fillId="0" borderId="0" xfId="0" applyNumberFormat="1" applyFont="1" applyAlignment="1">
      <alignment horizontal="center"/>
    </xf>
    <xf numFmtId="0" fontId="6" fillId="0" borderId="0" xfId="0" applyFont="1" applyAlignment="1">
      <alignment horizontal="right"/>
    </xf>
    <xf numFmtId="0" fontId="23" fillId="0" borderId="10" xfId="2" applyFont="1" applyBorder="1"/>
    <xf numFmtId="4" fontId="23" fillId="0" borderId="5" xfId="2" applyNumberFormat="1" applyFont="1" applyBorder="1"/>
    <xf numFmtId="0" fontId="23" fillId="0" borderId="1" xfId="2" applyFont="1" applyBorder="1"/>
    <xf numFmtId="22" fontId="23" fillId="0" borderId="2" xfId="2" applyNumberFormat="1" applyFont="1" applyBorder="1" applyAlignment="1">
      <alignment horizontal="center"/>
    </xf>
    <xf numFmtId="0" fontId="24" fillId="0" borderId="2" xfId="2" applyFont="1" applyBorder="1"/>
    <xf numFmtId="0" fontId="23" fillId="6" borderId="2" xfId="2" quotePrefix="1" applyFont="1" applyFill="1" applyBorder="1"/>
    <xf numFmtId="0" fontId="6" fillId="6" borderId="2" xfId="2" applyFont="1" applyFill="1" applyBorder="1"/>
    <xf numFmtId="0" fontId="6" fillId="0" borderId="26" xfId="2" applyFont="1" applyBorder="1"/>
    <xf numFmtId="0" fontId="6" fillId="0" borderId="26" xfId="2" quotePrefix="1" applyFont="1" applyBorder="1"/>
    <xf numFmtId="0" fontId="6" fillId="5" borderId="26" xfId="2" quotePrefix="1" applyFont="1" applyFill="1" applyBorder="1"/>
    <xf numFmtId="0" fontId="6" fillId="7" borderId="8" xfId="2" quotePrefix="1" applyFont="1" applyFill="1" applyBorder="1" applyAlignment="1">
      <alignment wrapText="1"/>
    </xf>
    <xf numFmtId="168" fontId="23" fillId="0" borderId="8" xfId="2" applyNumberFormat="1" applyFont="1" applyBorder="1"/>
    <xf numFmtId="0" fontId="24" fillId="0" borderId="26" xfId="2" quotePrefix="1" applyFont="1" applyBorder="1"/>
    <xf numFmtId="168" fontId="24" fillId="0" borderId="26" xfId="2" applyNumberFormat="1" applyFont="1" applyBorder="1"/>
    <xf numFmtId="0" fontId="23" fillId="0" borderId="8" xfId="2" quotePrefix="1" applyFont="1" applyBorder="1"/>
    <xf numFmtId="0" fontId="6" fillId="0" borderId="8" xfId="2" quotePrefix="1" applyFont="1" applyBorder="1"/>
    <xf numFmtId="0" fontId="23" fillId="0" borderId="5" xfId="2" quotePrefix="1" applyFont="1" applyBorder="1" applyAlignment="1">
      <alignment vertical="center"/>
    </xf>
    <xf numFmtId="0" fontId="6" fillId="0" borderId="26" xfId="2" applyFont="1" applyBorder="1" applyAlignment="1">
      <alignment vertical="center"/>
    </xf>
    <xf numFmtId="0" fontId="23" fillId="0" borderId="0" xfId="2" applyFont="1" applyAlignment="1">
      <alignment horizontal="left" vertical="center"/>
    </xf>
    <xf numFmtId="0" fontId="6" fillId="7" borderId="8" xfId="2" applyFont="1" applyFill="1" applyBorder="1" applyAlignment="1">
      <alignment horizontal="left" vertical="center" wrapText="1"/>
    </xf>
    <xf numFmtId="168" fontId="23" fillId="0" borderId="8" xfId="2" applyNumberFormat="1" applyFont="1" applyBorder="1" applyAlignment="1">
      <alignment horizontal="right" vertical="center"/>
    </xf>
    <xf numFmtId="0" fontId="23" fillId="6" borderId="26" xfId="2" quotePrefix="1" applyFont="1" applyFill="1" applyBorder="1"/>
    <xf numFmtId="0" fontId="6" fillId="5" borderId="26" xfId="2" applyFont="1" applyFill="1" applyBorder="1"/>
    <xf numFmtId="0" fontId="23" fillId="0" borderId="5" xfId="2" quotePrefix="1" applyFont="1" applyBorder="1"/>
    <xf numFmtId="168" fontId="23" fillId="0" borderId="5" xfId="2" applyNumberFormat="1" applyFont="1" applyBorder="1"/>
    <xf numFmtId="0" fontId="6" fillId="7" borderId="8" xfId="2" applyFont="1" applyFill="1" applyBorder="1" applyAlignment="1">
      <alignment vertical="center" wrapText="1"/>
    </xf>
    <xf numFmtId="14" fontId="23" fillId="0" borderId="5" xfId="2" applyNumberFormat="1" applyFont="1" applyBorder="1" applyAlignment="1">
      <alignment horizontal="center" wrapText="1"/>
    </xf>
    <xf numFmtId="22" fontId="23" fillId="0" borderId="5" xfId="2" applyNumberFormat="1" applyFont="1" applyBorder="1" applyAlignment="1">
      <alignment horizontal="center" wrapText="1"/>
    </xf>
    <xf numFmtId="0" fontId="23" fillId="8" borderId="2" xfId="2" quotePrefix="1" applyFont="1" applyFill="1" applyBorder="1"/>
    <xf numFmtId="0" fontId="6" fillId="0" borderId="26" xfId="2" quotePrefix="1" applyFont="1" applyBorder="1" applyAlignment="1">
      <alignment vertical="center" wrapText="1"/>
    </xf>
    <xf numFmtId="0" fontId="6" fillId="7" borderId="26" xfId="2" quotePrefix="1" applyFont="1" applyFill="1" applyBorder="1"/>
    <xf numFmtId="0" fontId="24" fillId="0" borderId="1" xfId="2" quotePrefix="1" applyFont="1" applyBorder="1"/>
    <xf numFmtId="0" fontId="23" fillId="0" borderId="6" xfId="2" quotePrefix="1" applyFont="1" applyBorder="1"/>
    <xf numFmtId="0" fontId="6" fillId="0" borderId="26" xfId="2" quotePrefix="1" applyFont="1" applyBorder="1" applyAlignment="1">
      <alignment vertical="center"/>
    </xf>
    <xf numFmtId="0" fontId="6" fillId="0" borderId="8" xfId="2" applyFont="1" applyBorder="1"/>
    <xf numFmtId="0" fontId="6" fillId="0" borderId="7" xfId="0" applyFont="1" applyBorder="1" applyAlignment="1">
      <alignment horizontal="center"/>
    </xf>
    <xf numFmtId="0" fontId="5" fillId="0" borderId="5" xfId="0" applyFont="1" applyBorder="1"/>
    <xf numFmtId="0" fontId="6" fillId="0" borderId="1" xfId="0" applyFont="1" applyBorder="1"/>
    <xf numFmtId="0" fontId="6" fillId="0" borderId="12" xfId="0" applyFont="1" applyBorder="1" applyAlignment="1">
      <alignment horizontal="center"/>
    </xf>
    <xf numFmtId="0" fontId="6" fillId="0" borderId="1" xfId="0" applyFont="1" applyBorder="1" applyAlignment="1">
      <alignment vertical="center"/>
    </xf>
    <xf numFmtId="0" fontId="12" fillId="0" borderId="1" xfId="0" applyFont="1" applyBorder="1" applyAlignment="1">
      <alignment vertical="center"/>
    </xf>
    <xf numFmtId="3" fontId="6" fillId="0" borderId="12" xfId="0" applyNumberFormat="1" applyFont="1" applyBorder="1" applyAlignment="1">
      <alignment vertical="center"/>
    </xf>
    <xf numFmtId="0" fontId="12" fillId="0" borderId="0" xfId="0" applyFont="1" applyAlignment="1">
      <alignment vertical="center" wrapText="1"/>
    </xf>
    <xf numFmtId="3" fontId="6" fillId="0" borderId="0" xfId="0" applyNumberFormat="1" applyFont="1" applyAlignment="1">
      <alignment vertical="center"/>
    </xf>
    <xf numFmtId="0" fontId="6" fillId="0" borderId="6" xfId="0" quotePrefix="1" applyFont="1" applyBorder="1"/>
    <xf numFmtId="0" fontId="12" fillId="0" borderId="6" xfId="0" quotePrefix="1" applyFont="1" applyBorder="1"/>
    <xf numFmtId="3" fontId="6" fillId="0" borderId="11" xfId="0" applyNumberFormat="1" applyFont="1" applyBorder="1"/>
    <xf numFmtId="3" fontId="6" fillId="0" borderId="0" xfId="0" applyNumberFormat="1" applyFont="1" applyAlignment="1">
      <alignment horizontal="center"/>
    </xf>
    <xf numFmtId="0" fontId="5" fillId="0" borderId="3" xfId="0" applyFont="1" applyBorder="1"/>
    <xf numFmtId="0" fontId="14" fillId="0" borderId="3" xfId="0" applyFont="1" applyBorder="1"/>
    <xf numFmtId="3" fontId="5" fillId="0" borderId="10" xfId="0" applyNumberFormat="1" applyFont="1" applyBorder="1"/>
    <xf numFmtId="4" fontId="5" fillId="0" borderId="0" xfId="0" applyNumberFormat="1" applyFont="1"/>
    <xf numFmtId="0" fontId="8" fillId="0" borderId="0" xfId="0" applyFont="1"/>
    <xf numFmtId="3" fontId="5" fillId="0" borderId="0" xfId="0" applyNumberFormat="1" applyFont="1"/>
    <xf numFmtId="3" fontId="5" fillId="0" borderId="0" xfId="0" applyNumberFormat="1" applyFont="1" applyAlignment="1">
      <alignment horizontal="center"/>
    </xf>
    <xf numFmtId="0" fontId="6" fillId="0" borderId="3" xfId="0" applyFont="1" applyBorder="1" applyAlignment="1">
      <alignment vertical="center" wrapText="1"/>
    </xf>
    <xf numFmtId="0" fontId="12" fillId="0" borderId="3" xfId="0" applyFont="1" applyBorder="1" applyAlignment="1">
      <alignment vertical="center" wrapText="1"/>
    </xf>
    <xf numFmtId="3" fontId="6" fillId="0" borderId="10" xfId="0" applyNumberFormat="1" applyFont="1" applyBorder="1" applyAlignment="1">
      <alignment vertical="center"/>
    </xf>
    <xf numFmtId="4" fontId="6" fillId="0" borderId="3" xfId="0" applyNumberFormat="1" applyFont="1" applyBorder="1" applyAlignment="1">
      <alignment horizontal="center" wrapText="1"/>
    </xf>
    <xf numFmtId="4" fontId="6" fillId="0" borderId="10" xfId="0" applyNumberFormat="1" applyFont="1" applyBorder="1" applyAlignment="1">
      <alignment horizontal="center" wrapText="1"/>
    </xf>
    <xf numFmtId="166" fontId="6" fillId="43" borderId="1" xfId="0" applyNumberFormat="1" applyFont="1" applyFill="1" applyBorder="1"/>
    <xf numFmtId="0" fontId="6" fillId="43" borderId="39" xfId="0" applyFont="1" applyFill="1" applyBorder="1"/>
    <xf numFmtId="0" fontId="6" fillId="0" borderId="3" xfId="0" applyFont="1" applyBorder="1"/>
    <xf numFmtId="0" fontId="12" fillId="0" borderId="3" xfId="0" applyFont="1" applyBorder="1"/>
    <xf numFmtId="168" fontId="6" fillId="0" borderId="10" xfId="0" applyNumberFormat="1" applyFont="1" applyBorder="1"/>
    <xf numFmtId="166" fontId="6" fillId="43" borderId="9" xfId="0" applyNumberFormat="1" applyFont="1" applyFill="1" applyBorder="1"/>
    <xf numFmtId="0" fontId="6" fillId="43" borderId="0" xfId="0" applyFont="1" applyFill="1"/>
    <xf numFmtId="166" fontId="6" fillId="43" borderId="3" xfId="0" applyNumberFormat="1" applyFont="1" applyFill="1" applyBorder="1"/>
    <xf numFmtId="0" fontId="6" fillId="43" borderId="4" xfId="0" applyFont="1" applyFill="1" applyBorder="1"/>
    <xf numFmtId="4" fontId="6" fillId="43" borderId="3" xfId="0" applyNumberFormat="1" applyFont="1" applyFill="1" applyBorder="1"/>
    <xf numFmtId="4" fontId="6" fillId="43" borderId="10" xfId="0" applyNumberFormat="1" applyFont="1" applyFill="1" applyBorder="1"/>
    <xf numFmtId="0" fontId="6" fillId="0" borderId="3" xfId="0" applyFont="1" applyBorder="1" applyAlignment="1">
      <alignment horizontal="left"/>
    </xf>
    <xf numFmtId="0" fontId="12" fillId="0" borderId="1" xfId="0" applyFont="1" applyBorder="1"/>
    <xf numFmtId="0" fontId="6" fillId="0" borderId="3" xfId="0" applyFont="1" applyBorder="1" applyAlignment="1">
      <alignment horizontal="centerContinuous"/>
    </xf>
    <xf numFmtId="0" fontId="6" fillId="0" borderId="4" xfId="0" applyFont="1" applyBorder="1" applyAlignment="1">
      <alignment horizontal="center"/>
    </xf>
    <xf numFmtId="0" fontId="6" fillId="0" borderId="4" xfId="0" applyFont="1" applyBorder="1"/>
    <xf numFmtId="0" fontId="6" fillId="0" borderId="10" xfId="0" applyFont="1" applyBorder="1"/>
    <xf numFmtId="0" fontId="6" fillId="0" borderId="9" xfId="0" applyFont="1" applyBorder="1"/>
    <xf numFmtId="166" fontId="6" fillId="43" borderId="6" xfId="0" applyNumberFormat="1" applyFont="1" applyFill="1" applyBorder="1"/>
    <xf numFmtId="0" fontId="6" fillId="43" borderId="7" xfId="0" applyFont="1" applyFill="1" applyBorder="1"/>
    <xf numFmtId="4" fontId="6" fillId="0" borderId="6" xfId="0" applyNumberFormat="1" applyFont="1" applyBorder="1"/>
    <xf numFmtId="4" fontId="6" fillId="0" borderId="11" xfId="0" applyNumberFormat="1" applyFont="1" applyBorder="1"/>
    <xf numFmtId="0" fontId="12" fillId="0" borderId="1" xfId="0" applyFont="1" applyBorder="1" applyAlignment="1">
      <alignment horizontal="centerContinuous"/>
    </xf>
    <xf numFmtId="0" fontId="6" fillId="0" borderId="39" xfId="0" applyFont="1" applyBorder="1"/>
    <xf numFmtId="0" fontId="6" fillId="0" borderId="12" xfId="0" applyFont="1" applyBorder="1"/>
    <xf numFmtId="0" fontId="12" fillId="0" borderId="6" xfId="0" applyFont="1" applyBorder="1" applyAlignment="1">
      <alignment horizontal="centerContinuous"/>
    </xf>
    <xf numFmtId="0" fontId="6" fillId="0" borderId="6" xfId="0" applyFont="1" applyBorder="1"/>
    <xf numFmtId="0" fontId="6" fillId="0" borderId="11" xfId="0" applyFont="1" applyBorder="1"/>
    <xf numFmtId="0" fontId="8" fillId="0" borderId="3" xfId="0" applyFont="1" applyBorder="1"/>
    <xf numFmtId="168" fontId="5" fillId="11" borderId="10" xfId="0" applyNumberFormat="1" applyFont="1" applyFill="1" applyBorder="1"/>
    <xf numFmtId="166" fontId="6" fillId="0" borderId="0" xfId="0" applyNumberFormat="1" applyFont="1"/>
    <xf numFmtId="167" fontId="6" fillId="0" borderId="0" xfId="0" applyNumberFormat="1" applyFont="1"/>
    <xf numFmtId="168" fontId="6" fillId="0" borderId="0" xfId="0" applyNumberFormat="1" applyFont="1"/>
    <xf numFmtId="165" fontId="12" fillId="0" borderId="0" xfId="0" applyNumberFormat="1" applyFont="1"/>
    <xf numFmtId="168" fontId="6" fillId="0" borderId="12" xfId="0" applyNumberFormat="1" applyFont="1" applyBorder="1" applyAlignment="1">
      <alignment horizontal="center"/>
    </xf>
    <xf numFmtId="0" fontId="12" fillId="0" borderId="3" xfId="0" applyFont="1" applyBorder="1" applyAlignment="1">
      <alignment horizontal="centerContinuous"/>
    </xf>
    <xf numFmtId="0" fontId="6" fillId="0" borderId="10" xfId="0" applyFont="1" applyBorder="1" applyAlignment="1">
      <alignment horizontal="center"/>
    </xf>
    <xf numFmtId="168" fontId="6" fillId="0" borderId="10" xfId="0" applyNumberFormat="1" applyFont="1" applyBorder="1" applyAlignment="1">
      <alignment horizontal="center"/>
    </xf>
    <xf numFmtId="168" fontId="6" fillId="0" borderId="12" xfId="0" applyNumberFormat="1" applyFont="1" applyBorder="1"/>
    <xf numFmtId="22" fontId="23" fillId="0" borderId="12" xfId="2" applyNumberFormat="1" applyFont="1" applyBorder="1" applyAlignment="1">
      <alignment horizontal="center" wrapText="1"/>
    </xf>
    <xf numFmtId="0" fontId="6" fillId="0" borderId="26" xfId="0" quotePrefix="1" applyFont="1" applyBorder="1"/>
    <xf numFmtId="0" fontId="12" fillId="0" borderId="9" xfId="0" quotePrefix="1" applyFont="1" applyBorder="1"/>
    <xf numFmtId="0" fontId="12" fillId="0" borderId="9" xfId="0" applyFont="1" applyBorder="1" applyAlignment="1">
      <alignment horizontal="centerContinuous"/>
    </xf>
    <xf numFmtId="22" fontId="23" fillId="0" borderId="22" xfId="2" applyNumberFormat="1" applyFont="1" applyBorder="1" applyAlignment="1">
      <alignment horizontal="center" wrapText="1"/>
    </xf>
    <xf numFmtId="0" fontId="12" fillId="0" borderId="9" xfId="0" applyFont="1" applyBorder="1"/>
    <xf numFmtId="22" fontId="6" fillId="0" borderId="22" xfId="0" applyNumberFormat="1" applyFont="1" applyBorder="1"/>
    <xf numFmtId="0" fontId="6" fillId="0" borderId="8" xfId="0" quotePrefix="1" applyFont="1" applyBorder="1"/>
    <xf numFmtId="22" fontId="23" fillId="0" borderId="11" xfId="2" applyNumberFormat="1" applyFont="1" applyBorder="1" applyAlignment="1">
      <alignment horizontal="center" wrapText="1"/>
    </xf>
    <xf numFmtId="0" fontId="12" fillId="0" borderId="6" xfId="0" applyFont="1" applyBorder="1"/>
    <xf numFmtId="22" fontId="6" fillId="0" borderId="11" xfId="0" applyNumberFormat="1" applyFont="1" applyBorder="1"/>
    <xf numFmtId="168" fontId="6" fillId="11" borderId="10" xfId="0" applyNumberFormat="1" applyFont="1" applyFill="1" applyBorder="1"/>
    <xf numFmtId="0" fontId="6" fillId="0" borderId="7" xfId="0" applyFont="1" applyBorder="1" applyAlignment="1">
      <alignment horizontal="center" wrapText="1"/>
    </xf>
    <xf numFmtId="0" fontId="6" fillId="0" borderId="11" xfId="0" applyFont="1" applyBorder="1" applyAlignment="1">
      <alignment horizontal="center" wrapText="1"/>
    </xf>
    <xf numFmtId="168" fontId="6" fillId="0" borderId="11" xfId="0" applyNumberFormat="1" applyFont="1" applyBorder="1"/>
    <xf numFmtId="0" fontId="12" fillId="0" borderId="0" xfId="0" applyFont="1" applyAlignment="1">
      <alignment horizontal="centerContinuous"/>
    </xf>
    <xf numFmtId="22" fontId="23" fillId="0" borderId="0" xfId="2" applyNumberFormat="1" applyFont="1" applyAlignment="1">
      <alignment horizontal="center" wrapText="1"/>
    </xf>
    <xf numFmtId="0" fontId="6" fillId="0" borderId="3" xfId="0" applyFont="1" applyBorder="1" applyAlignment="1">
      <alignment wrapText="1"/>
    </xf>
    <xf numFmtId="4" fontId="6" fillId="10" borderId="4" xfId="0" applyNumberFormat="1" applyFont="1" applyFill="1" applyBorder="1"/>
    <xf numFmtId="3" fontId="6" fillId="0" borderId="12" xfId="0" applyNumberFormat="1" applyFont="1" applyBorder="1" applyAlignment="1">
      <alignment horizontal="center"/>
    </xf>
    <xf numFmtId="0" fontId="6" fillId="0" borderId="1" xfId="0" applyFont="1" applyBorder="1" applyAlignment="1">
      <alignment wrapText="1"/>
    </xf>
    <xf numFmtId="168" fontId="6" fillId="0" borderId="22" xfId="0" applyNumberFormat="1" applyFont="1" applyBorder="1"/>
    <xf numFmtId="0" fontId="6" fillId="0" borderId="9" xfId="0" applyFont="1" applyBorder="1" applyAlignment="1">
      <alignment wrapText="1"/>
    </xf>
    <xf numFmtId="169" fontId="6" fillId="0" borderId="11" xfId="0" applyNumberFormat="1" applyFont="1" applyBorder="1"/>
    <xf numFmtId="165" fontId="6" fillId="0" borderId="0" xfId="0" applyNumberFormat="1" applyFont="1"/>
    <xf numFmtId="0" fontId="6" fillId="0" borderId="6" xfId="0" applyFont="1" applyBorder="1" applyAlignment="1">
      <alignment wrapText="1"/>
    </xf>
    <xf numFmtId="0" fontId="5" fillId="48" borderId="16" xfId="0" applyFont="1" applyFill="1" applyBorder="1"/>
    <xf numFmtId="0" fontId="6" fillId="48" borderId="16" xfId="0" applyFont="1" applyFill="1" applyBorder="1"/>
    <xf numFmtId="168" fontId="6" fillId="48" borderId="16" xfId="0" applyNumberFormat="1" applyFont="1" applyFill="1" applyBorder="1"/>
    <xf numFmtId="168" fontId="6" fillId="48" borderId="16" xfId="0" applyNumberFormat="1" applyFont="1" applyFill="1" applyBorder="1" applyAlignment="1">
      <alignment horizontal="center"/>
    </xf>
    <xf numFmtId="0" fontId="6" fillId="0" borderId="17" xfId="0" applyFont="1" applyBorder="1" applyAlignment="1">
      <alignment horizontal="left" wrapText="1"/>
    </xf>
    <xf numFmtId="0" fontId="6" fillId="0" borderId="18" xfId="0" applyFont="1" applyBorder="1" applyAlignment="1">
      <alignment horizontal="center" wrapText="1"/>
    </xf>
    <xf numFmtId="0" fontId="5" fillId="0" borderId="18" xfId="0" applyFont="1" applyBorder="1" applyAlignment="1">
      <alignment horizontal="center" wrapText="1"/>
    </xf>
    <xf numFmtId="0" fontId="6" fillId="0" borderId="19" xfId="0" applyFont="1" applyBorder="1" applyAlignment="1">
      <alignment horizontal="center" wrapText="1"/>
    </xf>
    <xf numFmtId="168" fontId="6" fillId="0" borderId="18" xfId="0" applyNumberFormat="1" applyFont="1" applyBorder="1" applyAlignment="1">
      <alignment horizontal="center" wrapText="1"/>
    </xf>
    <xf numFmtId="168" fontId="5" fillId="0" borderId="21" xfId="0" applyNumberFormat="1" applyFont="1" applyBorder="1" applyAlignment="1">
      <alignment horizontal="center" wrapText="1"/>
    </xf>
    <xf numFmtId="168" fontId="6" fillId="0" borderId="18" xfId="0" applyNumberFormat="1" applyFont="1" applyBorder="1" applyAlignment="1">
      <alignment horizontal="center" textRotation="90" wrapText="1"/>
    </xf>
    <xf numFmtId="0" fontId="6" fillId="43" borderId="18" xfId="0" applyFont="1" applyFill="1" applyBorder="1" applyAlignment="1">
      <alignment horizontal="center" wrapText="1"/>
    </xf>
    <xf numFmtId="0" fontId="6" fillId="43" borderId="24" xfId="0" applyFont="1" applyFill="1" applyBorder="1" applyAlignment="1">
      <alignment horizontal="center" wrapText="1"/>
    </xf>
    <xf numFmtId="0" fontId="6" fillId="0" borderId="17" xfId="0" applyFont="1" applyBorder="1" applyAlignment="1">
      <alignment horizontal="center" wrapText="1"/>
    </xf>
    <xf numFmtId="0" fontId="6" fillId="43" borderId="21" xfId="0" applyFont="1" applyFill="1" applyBorder="1" applyAlignment="1">
      <alignment horizontal="center" wrapText="1"/>
    </xf>
    <xf numFmtId="0" fontId="6" fillId="0" borderId="21" xfId="0" applyFont="1" applyBorder="1" applyAlignment="1">
      <alignment horizontal="center" wrapText="1"/>
    </xf>
    <xf numFmtId="0" fontId="6" fillId="43" borderId="40" xfId="0" applyFont="1" applyFill="1" applyBorder="1" applyAlignment="1">
      <alignment horizontal="center" wrapText="1"/>
    </xf>
    <xf numFmtId="0" fontId="9" fillId="0" borderId="14" xfId="0" applyFont="1" applyBorder="1" applyAlignment="1">
      <alignment horizontal="center"/>
    </xf>
    <xf numFmtId="0" fontId="6" fillId="0" borderId="16" xfId="0" applyFont="1" applyBorder="1" applyAlignment="1">
      <alignment horizontal="center" wrapText="1"/>
    </xf>
    <xf numFmtId="0" fontId="5" fillId="0" borderId="16" xfId="0" applyFont="1" applyBorder="1" applyAlignment="1">
      <alignment horizontal="center" wrapText="1"/>
    </xf>
    <xf numFmtId="0" fontId="6" fillId="0" borderId="23" xfId="0" applyFont="1" applyBorder="1" applyAlignment="1">
      <alignment horizontal="center" wrapText="1"/>
    </xf>
    <xf numFmtId="168" fontId="6" fillId="0" borderId="16" xfId="0" applyNumberFormat="1" applyFont="1" applyBorder="1" applyAlignment="1">
      <alignment horizontal="center" wrapText="1"/>
    </xf>
    <xf numFmtId="168" fontId="5" fillId="0" borderId="16" xfId="0" applyNumberFormat="1" applyFont="1" applyBorder="1" applyAlignment="1">
      <alignment horizontal="center" wrapText="1"/>
    </xf>
    <xf numFmtId="0" fontId="6" fillId="0" borderId="23" xfId="0" applyFont="1" applyBorder="1" applyAlignment="1">
      <alignment horizontal="center"/>
    </xf>
    <xf numFmtId="0" fontId="6" fillId="0" borderId="16" xfId="0" applyFont="1" applyBorder="1" applyAlignment="1">
      <alignment horizontal="center"/>
    </xf>
    <xf numFmtId="0" fontId="6" fillId="43" borderId="16" xfId="0" applyFont="1" applyFill="1" applyBorder="1" applyAlignment="1">
      <alignment horizontal="center" wrapText="1"/>
    </xf>
    <xf numFmtId="0" fontId="6" fillId="43" borderId="29" xfId="0" applyFont="1" applyFill="1" applyBorder="1" applyAlignment="1">
      <alignment horizontal="center" wrapText="1"/>
    </xf>
    <xf numFmtId="0" fontId="6" fillId="0" borderId="14" xfId="0" applyFont="1" applyBorder="1" applyAlignment="1">
      <alignment horizontal="center" wrapText="1"/>
    </xf>
    <xf numFmtId="0" fontId="6" fillId="43" borderId="15" xfId="0" applyFont="1" applyFill="1" applyBorder="1" applyAlignment="1">
      <alignment horizontal="center" wrapText="1"/>
    </xf>
    <xf numFmtId="0" fontId="6" fillId="0" borderId="15" xfId="0" applyFont="1" applyBorder="1" applyAlignment="1">
      <alignment horizontal="center" wrapText="1"/>
    </xf>
    <xf numFmtId="0" fontId="6" fillId="43" borderId="32" xfId="0" applyFont="1" applyFill="1" applyBorder="1" applyAlignment="1">
      <alignment horizontal="center" wrapText="1"/>
    </xf>
    <xf numFmtId="0" fontId="6" fillId="0" borderId="62" xfId="0" applyFont="1" applyBorder="1" applyAlignment="1">
      <alignment horizontal="left" wrapText="1"/>
    </xf>
    <xf numFmtId="0" fontId="6" fillId="0" borderId="64" xfId="0" applyFont="1" applyBorder="1" applyAlignment="1">
      <alignment horizontal="center" wrapText="1"/>
    </xf>
    <xf numFmtId="0" fontId="5" fillId="0" borderId="64" xfId="0" applyFont="1" applyBorder="1" applyAlignment="1">
      <alignment horizontal="center" wrapText="1"/>
    </xf>
    <xf numFmtId="0" fontId="6" fillId="0" borderId="68" xfId="0" applyFont="1" applyBorder="1" applyAlignment="1">
      <alignment horizontal="center" wrapText="1"/>
    </xf>
    <xf numFmtId="168" fontId="6" fillId="0" borderId="64" xfId="0" applyNumberFormat="1" applyFont="1" applyBorder="1" applyAlignment="1">
      <alignment horizontal="center" wrapText="1"/>
    </xf>
    <xf numFmtId="168" fontId="5" fillId="0" borderId="69" xfId="0" applyNumberFormat="1" applyFont="1" applyBorder="1" applyAlignment="1">
      <alignment horizontal="center" wrapText="1"/>
    </xf>
    <xf numFmtId="168" fontId="6" fillId="0" borderId="64" xfId="0" applyNumberFormat="1" applyFont="1" applyBorder="1" applyAlignment="1">
      <alignment horizontal="center" textRotation="90" wrapText="1"/>
    </xf>
    <xf numFmtId="0" fontId="6" fillId="43" borderId="64" xfId="0" applyFont="1" applyFill="1" applyBorder="1" applyAlignment="1">
      <alignment horizontal="center" wrapText="1"/>
    </xf>
    <xf numFmtId="0" fontId="6" fillId="43" borderId="63" xfId="0" applyFont="1" applyFill="1" applyBorder="1" applyAlignment="1">
      <alignment horizontal="center" wrapText="1"/>
    </xf>
    <xf numFmtId="0" fontId="6" fillId="0" borderId="62" xfId="0" applyFont="1" applyBorder="1" applyAlignment="1">
      <alignment horizontal="center" wrapText="1"/>
    </xf>
    <xf numFmtId="0" fontId="6" fillId="43" borderId="69" xfId="0" applyFont="1" applyFill="1" applyBorder="1" applyAlignment="1">
      <alignment horizontal="center" wrapText="1"/>
    </xf>
    <xf numFmtId="0" fontId="6" fillId="0" borderId="69" xfId="0" applyFont="1" applyBorder="1" applyAlignment="1">
      <alignment horizontal="center" wrapText="1"/>
    </xf>
    <xf numFmtId="0" fontId="6" fillId="43" borderId="70" xfId="0" applyFont="1" applyFill="1" applyBorder="1" applyAlignment="1">
      <alignment horizontal="center" wrapText="1"/>
    </xf>
    <xf numFmtId="3" fontId="5" fillId="0" borderId="22" xfId="0" applyNumberFormat="1" applyFont="1" applyBorder="1" applyAlignment="1">
      <alignment vertical="center"/>
    </xf>
    <xf numFmtId="168" fontId="6" fillId="0" borderId="0" xfId="0" applyNumberFormat="1" applyFont="1" applyAlignment="1">
      <alignment vertical="center"/>
    </xf>
    <xf numFmtId="168" fontId="5" fillId="0" borderId="22" xfId="1" applyNumberFormat="1" applyFont="1" applyBorder="1" applyAlignment="1" applyProtection="1">
      <alignment vertical="center"/>
    </xf>
    <xf numFmtId="4" fontId="6" fillId="0" borderId="0" xfId="1" applyNumberFormat="1" applyFont="1" applyFill="1" applyBorder="1" applyAlignment="1" applyProtection="1">
      <alignment horizontal="center" vertical="center"/>
    </xf>
    <xf numFmtId="4" fontId="6" fillId="43" borderId="0" xfId="0" applyNumberFormat="1" applyFont="1" applyFill="1"/>
    <xf numFmtId="4" fontId="6" fillId="43" borderId="28" xfId="0" applyNumberFormat="1" applyFont="1" applyFill="1" applyBorder="1" applyAlignment="1">
      <alignment vertical="center"/>
    </xf>
    <xf numFmtId="3" fontId="6" fillId="0" borderId="13" xfId="0" applyNumberFormat="1" applyFont="1" applyBorder="1" applyAlignment="1">
      <alignment vertical="center"/>
    </xf>
    <xf numFmtId="4" fontId="6" fillId="43" borderId="22" xfId="0" applyNumberFormat="1" applyFont="1" applyFill="1" applyBorder="1" applyAlignment="1">
      <alignment vertical="center"/>
    </xf>
    <xf numFmtId="168" fontId="6" fillId="0" borderId="22" xfId="0" applyNumberFormat="1" applyFont="1" applyBorder="1" applyAlignment="1">
      <alignment vertical="center"/>
    </xf>
    <xf numFmtId="4" fontId="6" fillId="43" borderId="0" xfId="1" applyNumberFormat="1" applyFont="1" applyFill="1" applyBorder="1" applyAlignment="1" applyProtection="1">
      <alignment vertical="center"/>
    </xf>
    <xf numFmtId="4" fontId="6" fillId="43" borderId="0" xfId="0" applyNumberFormat="1" applyFont="1" applyFill="1" applyAlignment="1">
      <alignment vertical="center"/>
    </xf>
    <xf numFmtId="4" fontId="6" fillId="43" borderId="33" xfId="0" applyNumberFormat="1" applyFont="1" applyFill="1" applyBorder="1" applyAlignment="1">
      <alignment vertical="center"/>
    </xf>
    <xf numFmtId="4" fontId="6" fillId="43" borderId="67" xfId="0" applyNumberFormat="1" applyFont="1" applyFill="1" applyBorder="1" applyAlignment="1">
      <alignment vertical="center"/>
    </xf>
    <xf numFmtId="168" fontId="5" fillId="0" borderId="22" xfId="1" applyNumberFormat="1" applyFont="1" applyBorder="1" applyProtection="1"/>
    <xf numFmtId="4" fontId="6" fillId="43" borderId="65" xfId="0" applyNumberFormat="1" applyFont="1" applyFill="1" applyBorder="1" applyAlignment="1">
      <alignment vertical="center"/>
    </xf>
    <xf numFmtId="4" fontId="6" fillId="0" borderId="0" xfId="1" applyNumberFormat="1" applyFont="1" applyBorder="1" applyAlignment="1" applyProtection="1">
      <alignment horizontal="center"/>
    </xf>
    <xf numFmtId="3" fontId="5" fillId="0" borderId="0" xfId="0" applyNumberFormat="1" applyFont="1" applyAlignment="1">
      <alignment vertical="center"/>
    </xf>
    <xf numFmtId="168" fontId="5" fillId="0" borderId="0" xfId="1" applyNumberFormat="1" applyFont="1" applyBorder="1" applyProtection="1"/>
    <xf numFmtId="168" fontId="5" fillId="0" borderId="0" xfId="1" applyNumberFormat="1" applyFont="1" applyBorder="1" applyAlignment="1" applyProtection="1">
      <alignment horizontal="center"/>
    </xf>
    <xf numFmtId="4" fontId="6" fillId="0" borderId="0" xfId="0" applyNumberFormat="1" applyFont="1" applyAlignment="1">
      <alignment vertical="center"/>
    </xf>
    <xf numFmtId="0" fontId="5" fillId="48" borderId="62" xfId="0" applyFont="1" applyFill="1" applyBorder="1"/>
    <xf numFmtId="0" fontId="6" fillId="48" borderId="64" xfId="0" applyFont="1" applyFill="1" applyBorder="1"/>
    <xf numFmtId="168" fontId="6" fillId="48" borderId="64" xfId="0" applyNumberFormat="1" applyFont="1" applyFill="1" applyBorder="1"/>
    <xf numFmtId="168" fontId="6" fillId="48" borderId="64" xfId="0" applyNumberFormat="1" applyFont="1" applyFill="1" applyBorder="1" applyAlignment="1">
      <alignment horizontal="center"/>
    </xf>
    <xf numFmtId="0" fontId="6" fillId="48" borderId="63" xfId="0" applyFont="1" applyFill="1" applyBorder="1"/>
    <xf numFmtId="0" fontId="6" fillId="0" borderId="14" xfId="0" applyFont="1" applyBorder="1" applyAlignment="1">
      <alignment horizontal="left" wrapText="1"/>
    </xf>
    <xf numFmtId="168" fontId="5" fillId="0" borderId="15" xfId="0" applyNumberFormat="1" applyFont="1" applyBorder="1" applyAlignment="1">
      <alignment horizontal="center" wrapText="1"/>
    </xf>
    <xf numFmtId="168" fontId="6" fillId="0" borderId="16" xfId="0" applyNumberFormat="1" applyFont="1" applyBorder="1" applyAlignment="1">
      <alignment horizontal="center" textRotation="90" wrapText="1"/>
    </xf>
    <xf numFmtId="0" fontId="6" fillId="0" borderId="9" xfId="0" applyFont="1" applyBorder="1" applyAlignment="1">
      <alignment horizontal="center"/>
    </xf>
    <xf numFmtId="168" fontId="6" fillId="10" borderId="0" xfId="0" applyNumberFormat="1" applyFont="1" applyFill="1"/>
    <xf numFmtId="4" fontId="6" fillId="3" borderId="28" xfId="0" applyNumberFormat="1" applyFont="1" applyFill="1" applyBorder="1" applyAlignment="1">
      <alignment vertical="center"/>
    </xf>
    <xf numFmtId="4" fontId="6" fillId="10" borderId="0" xfId="0" applyNumberFormat="1" applyFont="1" applyFill="1" applyAlignment="1">
      <alignment vertical="center"/>
    </xf>
    <xf numFmtId="4" fontId="6" fillId="10" borderId="22" xfId="0" applyNumberFormat="1" applyFont="1" applyFill="1" applyBorder="1" applyAlignment="1">
      <alignment vertical="center"/>
    </xf>
    <xf numFmtId="4" fontId="6" fillId="3" borderId="22" xfId="0" applyNumberFormat="1" applyFont="1" applyFill="1" applyBorder="1" applyAlignment="1">
      <alignment vertical="center"/>
    </xf>
    <xf numFmtId="4" fontId="6" fillId="44" borderId="28" xfId="0" applyNumberFormat="1" applyFont="1" applyFill="1" applyBorder="1" applyAlignment="1">
      <alignment vertical="center"/>
    </xf>
    <xf numFmtId="4" fontId="6" fillId="44" borderId="0" xfId="0" applyNumberFormat="1" applyFont="1" applyFill="1" applyAlignment="1">
      <alignment vertical="center"/>
    </xf>
    <xf numFmtId="4" fontId="6" fillId="3" borderId="0" xfId="0" applyNumberFormat="1" applyFont="1" applyFill="1" applyAlignment="1">
      <alignment vertical="center"/>
    </xf>
    <xf numFmtId="0" fontId="9" fillId="0" borderId="0" xfId="0" applyFont="1" applyAlignment="1">
      <alignment horizontal="center"/>
    </xf>
    <xf numFmtId="168" fontId="5" fillId="0" borderId="16" xfId="1" applyNumberFormat="1" applyFont="1" applyFill="1" applyBorder="1" applyProtection="1"/>
    <xf numFmtId="168" fontId="5" fillId="0" borderId="0" xfId="1" applyNumberFormat="1" applyFont="1" applyFill="1" applyBorder="1" applyProtection="1"/>
    <xf numFmtId="3" fontId="6" fillId="0" borderId="18" xfId="0" applyNumberFormat="1" applyFont="1" applyBorder="1"/>
    <xf numFmtId="3" fontId="5" fillId="0" borderId="21" xfId="0" applyNumberFormat="1" applyFont="1" applyBorder="1" applyAlignment="1">
      <alignment vertical="center"/>
    </xf>
    <xf numFmtId="0" fontId="6" fillId="0" borderId="18" xfId="0" applyFont="1" applyBorder="1" applyAlignment="1">
      <alignment horizontal="center" vertical="center"/>
    </xf>
    <xf numFmtId="168" fontId="6" fillId="0" borderId="18" xfId="0" applyNumberFormat="1" applyFont="1" applyBorder="1"/>
    <xf numFmtId="168" fontId="6" fillId="10" borderId="18" xfId="0" applyNumberFormat="1" applyFont="1" applyFill="1" applyBorder="1"/>
    <xf numFmtId="3" fontId="6" fillId="0" borderId="18" xfId="1" applyNumberFormat="1" applyFont="1" applyFill="1" applyBorder="1" applyProtection="1"/>
    <xf numFmtId="168" fontId="6" fillId="0" borderId="18" xfId="0" applyNumberFormat="1" applyFont="1" applyBorder="1" applyAlignment="1">
      <alignment vertical="center"/>
    </xf>
    <xf numFmtId="168" fontId="0" fillId="0" borderId="21" xfId="0" applyNumberFormat="1" applyBorder="1"/>
    <xf numFmtId="4" fontId="6" fillId="43" borderId="21" xfId="0" applyNumberFormat="1" applyFont="1" applyFill="1" applyBorder="1" applyAlignment="1">
      <alignment vertical="center"/>
    </xf>
    <xf numFmtId="4" fontId="6" fillId="43" borderId="24" xfId="0" applyNumberFormat="1" applyFont="1" applyFill="1" applyBorder="1" applyAlignment="1">
      <alignment vertical="center"/>
    </xf>
    <xf numFmtId="4" fontId="6" fillId="43" borderId="18" xfId="0" applyNumberFormat="1" applyFont="1" applyFill="1" applyBorder="1"/>
    <xf numFmtId="3" fontId="0" fillId="0" borderId="0" xfId="0" applyNumberFormat="1"/>
    <xf numFmtId="3" fontId="6" fillId="0" borderId="0" xfId="1" applyNumberFormat="1" applyFont="1" applyFill="1" applyBorder="1" applyProtection="1"/>
    <xf numFmtId="4" fontId="0" fillId="43" borderId="0" xfId="0" applyNumberFormat="1" applyFill="1"/>
    <xf numFmtId="4" fontId="0" fillId="43" borderId="22" xfId="0" applyNumberFormat="1" applyFill="1" applyBorder="1" applyAlignment="1">
      <alignment vertical="center"/>
    </xf>
    <xf numFmtId="3" fontId="5" fillId="0" borderId="11" xfId="0" applyNumberFormat="1" applyFont="1" applyBorder="1" applyAlignment="1">
      <alignment vertical="center"/>
    </xf>
    <xf numFmtId="0" fontId="6" fillId="0" borderId="7" xfId="0" applyFont="1" applyBorder="1" applyAlignment="1">
      <alignment horizontal="center" vertical="center"/>
    </xf>
    <xf numFmtId="168" fontId="6" fillId="10" borderId="7" xfId="0" applyNumberFormat="1" applyFont="1" applyFill="1" applyBorder="1"/>
    <xf numFmtId="168" fontId="6" fillId="0" borderId="7" xfId="0" applyNumberFormat="1" applyFont="1" applyBorder="1"/>
    <xf numFmtId="4" fontId="6" fillId="0" borderId="7" xfId="0" applyNumberFormat="1" applyFont="1" applyBorder="1"/>
    <xf numFmtId="3" fontId="6" fillId="0" borderId="7" xfId="1" applyNumberFormat="1" applyFont="1" applyFill="1" applyBorder="1" applyProtection="1"/>
    <xf numFmtId="168" fontId="6" fillId="0" borderId="7" xfId="0" applyNumberFormat="1" applyFont="1" applyBorder="1" applyAlignment="1">
      <alignment vertical="center"/>
    </xf>
    <xf numFmtId="168" fontId="6" fillId="10" borderId="7" xfId="0" applyNumberFormat="1" applyFont="1" applyFill="1" applyBorder="1" applyAlignment="1">
      <alignment vertical="center"/>
    </xf>
    <xf numFmtId="4" fontId="6" fillId="10" borderId="11" xfId="0" applyNumberFormat="1" applyFont="1" applyFill="1" applyBorder="1" applyAlignment="1">
      <alignment vertical="center"/>
    </xf>
    <xf numFmtId="4" fontId="6" fillId="43" borderId="7" xfId="0" applyNumberFormat="1" applyFont="1" applyFill="1" applyBorder="1"/>
    <xf numFmtId="4" fontId="6" fillId="44" borderId="25" xfId="0" applyNumberFormat="1" applyFont="1" applyFill="1" applyBorder="1" applyAlignment="1">
      <alignment vertical="center"/>
    </xf>
    <xf numFmtId="0" fontId="6" fillId="0" borderId="35" xfId="0" applyFont="1" applyBorder="1"/>
    <xf numFmtId="3" fontId="6" fillId="0" borderId="16" xfId="0" applyNumberFormat="1" applyFont="1" applyBorder="1"/>
    <xf numFmtId="3" fontId="5" fillId="0" borderId="15" xfId="0" applyNumberFormat="1" applyFont="1" applyBorder="1" applyAlignment="1">
      <alignment vertical="center"/>
    </xf>
    <xf numFmtId="0" fontId="6" fillId="10" borderId="23" xfId="0" applyFont="1" applyFill="1" applyBorder="1"/>
    <xf numFmtId="168" fontId="6" fillId="10" borderId="16" xfId="0" applyNumberFormat="1" applyFont="1" applyFill="1" applyBorder="1"/>
    <xf numFmtId="168" fontId="6" fillId="11" borderId="16" xfId="0" applyNumberFormat="1" applyFont="1" applyFill="1" applyBorder="1"/>
    <xf numFmtId="3" fontId="6" fillId="0" borderId="16" xfId="1" applyNumberFormat="1" applyFont="1" applyFill="1" applyBorder="1" applyProtection="1"/>
    <xf numFmtId="168" fontId="6" fillId="0" borderId="36" xfId="0" applyNumberFormat="1" applyFont="1" applyBorder="1"/>
    <xf numFmtId="168" fontId="6" fillId="0" borderId="35" xfId="0" applyNumberFormat="1" applyFont="1" applyBorder="1"/>
    <xf numFmtId="4" fontId="6" fillId="43" borderId="29" xfId="0" applyNumberFormat="1" applyFont="1" applyFill="1" applyBorder="1"/>
    <xf numFmtId="4" fontId="6" fillId="43" borderId="16" xfId="1" applyNumberFormat="1" applyFont="1" applyFill="1" applyBorder="1" applyProtection="1"/>
    <xf numFmtId="4" fontId="6" fillId="43" borderId="15" xfId="0" applyNumberFormat="1" applyFont="1" applyFill="1" applyBorder="1"/>
    <xf numFmtId="4" fontId="12" fillId="0" borderId="0" xfId="1" applyNumberFormat="1" applyFont="1" applyFill="1" applyBorder="1" applyAlignment="1" applyProtection="1">
      <alignment horizontal="center"/>
    </xf>
    <xf numFmtId="4" fontId="8" fillId="0" borderId="0" xfId="1" applyNumberFormat="1" applyFont="1" applyFill="1" applyBorder="1" applyAlignment="1" applyProtection="1">
      <alignment horizontal="center"/>
    </xf>
    <xf numFmtId="4" fontId="12" fillId="0" borderId="0" xfId="4" applyNumberFormat="1" applyFont="1" applyFill="1" applyBorder="1" applyAlignment="1" applyProtection="1">
      <alignment horizontal="center"/>
    </xf>
    <xf numFmtId="168" fontId="6" fillId="0" borderId="24" xfId="0" applyNumberFormat="1" applyFont="1" applyBorder="1" applyAlignment="1">
      <alignment horizontal="right"/>
    </xf>
    <xf numFmtId="4" fontId="5" fillId="0" borderId="0" xfId="1" applyNumberFormat="1" applyFont="1" applyFill="1" applyBorder="1" applyAlignment="1" applyProtection="1">
      <alignment horizontal="center"/>
    </xf>
    <xf numFmtId="4" fontId="6" fillId="0" borderId="28" xfId="0" applyNumberFormat="1" applyFont="1" applyBorder="1" applyAlignment="1">
      <alignment vertical="center"/>
    </xf>
    <xf numFmtId="4" fontId="6" fillId="43" borderId="9" xfId="0" applyNumberFormat="1" applyFont="1" applyFill="1" applyBorder="1" applyAlignment="1">
      <alignment horizontal="right"/>
    </xf>
    <xf numFmtId="4" fontId="6" fillId="43" borderId="22" xfId="0" applyNumberFormat="1" applyFont="1" applyFill="1" applyBorder="1" applyAlignment="1">
      <alignment horizontal="right"/>
    </xf>
    <xf numFmtId="0" fontId="5" fillId="0" borderId="1" xfId="0" applyFont="1" applyBorder="1"/>
    <xf numFmtId="0" fontId="5" fillId="0" borderId="39" xfId="0" applyFont="1" applyBorder="1"/>
    <xf numFmtId="0" fontId="6" fillId="0" borderId="1" xfId="0" applyFont="1" applyBorder="1" applyAlignment="1">
      <alignment horizontal="right" wrapText="1"/>
    </xf>
    <xf numFmtId="0" fontId="6" fillId="0" borderId="12" xfId="0" applyFont="1" applyBorder="1" applyAlignment="1">
      <alignment horizontal="right" wrapText="1"/>
    </xf>
    <xf numFmtId="0" fontId="6" fillId="0" borderId="39" xfId="0" quotePrefix="1" applyFont="1" applyBorder="1" applyAlignment="1">
      <alignment horizontal="right" wrapText="1"/>
    </xf>
    <xf numFmtId="0" fontId="6" fillId="0" borderId="12" xfId="0" quotePrefix="1" applyFont="1" applyBorder="1" applyAlignment="1">
      <alignment horizontal="right" wrapText="1"/>
    </xf>
    <xf numFmtId="0" fontId="6" fillId="0" borderId="6" xfId="0" applyFont="1" applyBorder="1" applyAlignment="1">
      <alignment horizontal="right"/>
    </xf>
    <xf numFmtId="0" fontId="6" fillId="0" borderId="11" xfId="0" applyFont="1" applyBorder="1" applyAlignment="1">
      <alignment horizontal="right"/>
    </xf>
    <xf numFmtId="0" fontId="6" fillId="0" borderId="8" xfId="0" applyFont="1" applyBorder="1" applyAlignment="1">
      <alignment horizontal="right"/>
    </xf>
    <xf numFmtId="0" fontId="6" fillId="0" borderId="7" xfId="0" applyFont="1" applyBorder="1" applyAlignment="1">
      <alignment horizontal="right"/>
    </xf>
    <xf numFmtId="4" fontId="6" fillId="0" borderId="9" xfId="0" applyNumberFormat="1" applyFont="1" applyBorder="1" applyAlignment="1">
      <alignment horizontal="right"/>
    </xf>
    <xf numFmtId="4" fontId="6" fillId="0" borderId="26" xfId="0" applyNumberFormat="1" applyFont="1" applyBorder="1" applyAlignment="1">
      <alignment horizontal="right"/>
    </xf>
    <xf numFmtId="4" fontId="6" fillId="0" borderId="0" xfId="0" applyNumberFormat="1" applyFont="1" applyAlignment="1">
      <alignment horizontal="right"/>
    </xf>
    <xf numFmtId="4" fontId="6" fillId="42" borderId="22" xfId="0" applyNumberFormat="1" applyFont="1" applyFill="1" applyBorder="1"/>
    <xf numFmtId="4" fontId="6" fillId="0" borderId="9" xfId="0" applyNumberFormat="1" applyFont="1" applyBorder="1"/>
    <xf numFmtId="4" fontId="6" fillId="0" borderId="26" xfId="0" applyNumberFormat="1" applyFont="1" applyBorder="1"/>
    <xf numFmtId="4" fontId="6" fillId="0" borderId="8" xfId="0" applyNumberFormat="1" applyFont="1" applyBorder="1"/>
    <xf numFmtId="4" fontId="6" fillId="16" borderId="8" xfId="0" applyNumberFormat="1" applyFont="1" applyFill="1" applyBorder="1"/>
    <xf numFmtId="4" fontId="6" fillId="0" borderId="4" xfId="0" applyNumberFormat="1" applyFont="1" applyBorder="1"/>
    <xf numFmtId="4" fontId="6" fillId="15" borderId="10" xfId="0" applyNumberFormat="1" applyFont="1" applyFill="1" applyBorder="1"/>
    <xf numFmtId="4" fontId="6" fillId="14" borderId="10" xfId="0" applyNumberFormat="1" applyFont="1" applyFill="1" applyBorder="1"/>
    <xf numFmtId="0" fontId="6" fillId="0" borderId="2" xfId="0" applyFont="1" applyBorder="1" applyAlignment="1">
      <alignment horizontal="right" wrapText="1"/>
    </xf>
    <xf numFmtId="4" fontId="6" fillId="0" borderId="1" xfId="0" applyNumberFormat="1" applyFont="1" applyBorder="1"/>
    <xf numFmtId="4" fontId="6" fillId="0" borderId="12" xfId="0" applyNumberFormat="1" applyFont="1" applyBorder="1"/>
    <xf numFmtId="4" fontId="6" fillId="10" borderId="0" xfId="0" applyNumberFormat="1" applyFont="1" applyFill="1"/>
    <xf numFmtId="0" fontId="6" fillId="0" borderId="9" xfId="162" applyFont="1" applyBorder="1"/>
    <xf numFmtId="0" fontId="6" fillId="0" borderId="0" xfId="162" applyFont="1" applyAlignment="1">
      <alignment horizontal="center" vertical="center"/>
    </xf>
    <xf numFmtId="0" fontId="6" fillId="0" borderId="6" xfId="162" applyFont="1" applyBorder="1"/>
    <xf numFmtId="4" fontId="6" fillId="16" borderId="39" xfId="0" applyNumberFormat="1" applyFont="1" applyFill="1" applyBorder="1"/>
    <xf numFmtId="4" fontId="6" fillId="0" borderId="2" xfId="0" applyNumberFormat="1" applyFont="1" applyBorder="1"/>
    <xf numFmtId="4" fontId="6" fillId="0" borderId="39" xfId="0" applyNumberFormat="1" applyFont="1" applyBorder="1"/>
    <xf numFmtId="4" fontId="5" fillId="0" borderId="8" xfId="0" applyNumberFormat="1" applyFont="1" applyBorder="1"/>
    <xf numFmtId="4" fontId="6" fillId="0" borderId="3" xfId="0" applyNumberFormat="1" applyFont="1" applyBorder="1"/>
    <xf numFmtId="4" fontId="5" fillId="0" borderId="44" xfId="0" applyNumberFormat="1" applyFont="1" applyBorder="1"/>
    <xf numFmtId="0" fontId="6" fillId="0" borderId="2" xfId="0" applyFont="1" applyBorder="1"/>
    <xf numFmtId="0" fontId="6" fillId="0" borderId="2" xfId="0" applyFont="1" applyBorder="1" applyAlignment="1">
      <alignment horizontal="right"/>
    </xf>
    <xf numFmtId="0" fontId="6" fillId="0" borderId="12" xfId="0" applyFont="1" applyBorder="1" applyAlignment="1">
      <alignment horizontal="right"/>
    </xf>
    <xf numFmtId="0" fontId="6" fillId="0" borderId="8" xfId="0" applyFont="1" applyBorder="1"/>
    <xf numFmtId="0" fontId="6" fillId="0" borderId="26" xfId="0" applyFont="1" applyBorder="1" applyAlignment="1">
      <alignment horizontal="right"/>
    </xf>
    <xf numFmtId="3" fontId="6" fillId="0" borderId="2" xfId="0" applyNumberFormat="1" applyFont="1" applyBorder="1"/>
    <xf numFmtId="0" fontId="6" fillId="0" borderId="26" xfId="0" applyFont="1" applyBorder="1"/>
    <xf numFmtId="166" fontId="6" fillId="0" borderId="6" xfId="0" applyNumberFormat="1" applyFont="1" applyBorder="1"/>
    <xf numFmtId="4" fontId="6" fillId="15" borderId="5" xfId="0" applyNumberFormat="1" applyFont="1" applyFill="1" applyBorder="1"/>
    <xf numFmtId="0" fontId="6" fillId="0" borderId="5" xfId="0" applyFont="1" applyBorder="1"/>
    <xf numFmtId="3" fontId="6" fillId="0" borderId="5" xfId="0" applyNumberFormat="1" applyFont="1" applyBorder="1"/>
    <xf numFmtId="3" fontId="6" fillId="0" borderId="10" xfId="0" applyNumberFormat="1" applyFont="1" applyBorder="1"/>
    <xf numFmtId="3" fontId="6" fillId="0" borderId="1" xfId="0" applyNumberFormat="1" applyFont="1" applyBorder="1"/>
    <xf numFmtId="3" fontId="6" fillId="0" borderId="39" xfId="0" applyNumberFormat="1" applyFont="1" applyBorder="1"/>
    <xf numFmtId="3" fontId="6" fillId="0" borderId="8" xfId="0" applyNumberFormat="1" applyFont="1" applyBorder="1"/>
    <xf numFmtId="0" fontId="30" fillId="0" borderId="0" xfId="0" applyFont="1"/>
    <xf numFmtId="0" fontId="6" fillId="9" borderId="7" xfId="0" applyFont="1" applyFill="1" applyBorder="1" applyProtection="1">
      <protection locked="0"/>
    </xf>
    <xf numFmtId="0" fontId="5" fillId="9" borderId="0" xfId="0" applyFont="1" applyFill="1" applyProtection="1">
      <protection locked="0"/>
    </xf>
    <xf numFmtId="0" fontId="6" fillId="0" borderId="1" xfId="0" applyFont="1" applyBorder="1" applyAlignment="1">
      <alignment horizontal="left" vertical="center"/>
    </xf>
    <xf numFmtId="0" fontId="0" fillId="0" borderId="39" xfId="0" applyBorder="1" applyAlignment="1">
      <alignment horizontal="center" vertical="center"/>
    </xf>
    <xf numFmtId="0" fontId="0" fillId="0" borderId="12" xfId="0" applyBorder="1"/>
    <xf numFmtId="0" fontId="6" fillId="0" borderId="9" xfId="0" applyFont="1" applyBorder="1" applyAlignment="1">
      <alignment horizontal="left" vertical="center"/>
    </xf>
    <xf numFmtId="0" fontId="0" fillId="0" borderId="0" xfId="0" applyAlignment="1">
      <alignment horizontal="center" vertical="center"/>
    </xf>
    <xf numFmtId="0" fontId="0" fillId="0" borderId="22" xfId="0" applyBorder="1"/>
    <xf numFmtId="0" fontId="6" fillId="0" borderId="22" xfId="162" applyFont="1" applyBorder="1" applyAlignment="1">
      <alignment horizontal="center"/>
    </xf>
    <xf numFmtId="0" fontId="6" fillId="0" borderId="6" xfId="162" applyFont="1" applyBorder="1" applyAlignment="1">
      <alignment horizontal="left"/>
    </xf>
    <xf numFmtId="0" fontId="6" fillId="0" borderId="7" xfId="162" applyFont="1" applyBorder="1" applyAlignment="1">
      <alignment horizontal="center" vertical="center"/>
    </xf>
    <xf numFmtId="0" fontId="6" fillId="0" borderId="11" xfId="162" applyFont="1" applyBorder="1" applyAlignment="1">
      <alignment horizontal="center"/>
    </xf>
    <xf numFmtId="0" fontId="23" fillId="4" borderId="0" xfId="162" applyFont="1" applyFill="1" applyAlignment="1" applyProtection="1">
      <alignment horizontal="right"/>
      <protection locked="0"/>
    </xf>
    <xf numFmtId="0" fontId="6" fillId="0" borderId="9" xfId="0" quotePrefix="1" applyFont="1" applyBorder="1"/>
    <xf numFmtId="0" fontId="6" fillId="0" borderId="22" xfId="0" applyFont="1" applyBorder="1"/>
    <xf numFmtId="4" fontId="6" fillId="15" borderId="26" xfId="0" applyNumberFormat="1" applyFont="1" applyFill="1" applyBorder="1"/>
    <xf numFmtId="4" fontId="6" fillId="15" borderId="22" xfId="0" applyNumberFormat="1" applyFont="1" applyFill="1" applyBorder="1"/>
    <xf numFmtId="4" fontId="6" fillId="15" borderId="3" xfId="0" applyNumberFormat="1" applyFont="1" applyFill="1" applyBorder="1"/>
    <xf numFmtId="4" fontId="6" fillId="0" borderId="10" xfId="0" applyNumberFormat="1" applyFont="1" applyBorder="1"/>
    <xf numFmtId="0" fontId="6" fillId="0" borderId="2" xfId="0" applyFont="1" applyBorder="1" applyAlignment="1">
      <alignment horizontal="center"/>
    </xf>
    <xf numFmtId="0" fontId="6" fillId="43" borderId="71" xfId="0" applyFont="1" applyFill="1" applyBorder="1" applyAlignment="1">
      <alignment horizontal="center" wrapText="1"/>
    </xf>
    <xf numFmtId="0" fontId="6" fillId="43" borderId="30" xfId="0" applyFont="1" applyFill="1" applyBorder="1" applyAlignment="1">
      <alignment horizontal="center" wrapText="1"/>
    </xf>
    <xf numFmtId="4" fontId="6" fillId="10" borderId="18" xfId="0" applyNumberFormat="1" applyFont="1" applyFill="1" applyBorder="1" applyAlignment="1">
      <alignment vertical="center"/>
    </xf>
    <xf numFmtId="4" fontId="6" fillId="10" borderId="16" xfId="0" applyNumberFormat="1" applyFont="1" applyFill="1" applyBorder="1"/>
    <xf numFmtId="4" fontId="6" fillId="4" borderId="22" xfId="0" applyNumberFormat="1" applyFont="1" applyFill="1" applyBorder="1" applyAlignment="1" applyProtection="1">
      <alignment vertical="center"/>
      <protection locked="0"/>
    </xf>
    <xf numFmtId="4" fontId="6" fillId="0" borderId="22" xfId="0" applyNumberFormat="1" applyFont="1" applyBorder="1" applyAlignment="1">
      <alignment horizontal="right"/>
    </xf>
    <xf numFmtId="4" fontId="6" fillId="4" borderId="5" xfId="0" applyNumberFormat="1" applyFont="1" applyFill="1" applyBorder="1" applyProtection="1">
      <protection locked="0"/>
    </xf>
    <xf numFmtId="4" fontId="6" fillId="17" borderId="26" xfId="0" applyNumberFormat="1" applyFont="1" applyFill="1" applyBorder="1"/>
    <xf numFmtId="4" fontId="6" fillId="0" borderId="8" xfId="0" applyNumberFormat="1" applyFont="1" applyBorder="1" applyAlignment="1">
      <alignment horizontal="right"/>
    </xf>
    <xf numFmtId="0" fontId="6" fillId="0" borderId="39" xfId="0" applyFont="1" applyBorder="1" applyAlignment="1">
      <alignment horizontal="right" wrapText="1"/>
    </xf>
    <xf numFmtId="4" fontId="6" fillId="0" borderId="39" xfId="0" applyNumberFormat="1" applyFont="1" applyBorder="1" applyAlignment="1">
      <alignment horizontal="right"/>
    </xf>
    <xf numFmtId="4" fontId="6" fillId="4" borderId="39" xfId="0" applyNumberFormat="1" applyFont="1" applyFill="1" applyBorder="1" applyProtection="1">
      <protection locked="0"/>
    </xf>
    <xf numFmtId="4" fontId="6" fillId="4" borderId="22" xfId="0" applyNumberFormat="1" applyFont="1" applyFill="1" applyBorder="1"/>
    <xf numFmtId="0" fontId="54" fillId="0" borderId="0" xfId="0" applyFont="1" applyAlignment="1">
      <alignment vertical="center"/>
    </xf>
    <xf numFmtId="0" fontId="54" fillId="46" borderId="40" xfId="0" applyFont="1" applyFill="1" applyBorder="1" applyAlignment="1">
      <alignment horizontal="center" vertical="center"/>
    </xf>
    <xf numFmtId="3" fontId="3" fillId="0" borderId="31" xfId="0" applyNumberFormat="1" applyFont="1" applyBorder="1" applyAlignment="1">
      <alignment vertical="center"/>
    </xf>
    <xf numFmtId="0" fontId="3" fillId="0" borderId="0" xfId="0" applyFont="1" applyAlignment="1">
      <alignment vertical="center"/>
    </xf>
    <xf numFmtId="3" fontId="3" fillId="45" borderId="31" xfId="0" applyNumberFormat="1" applyFont="1" applyFill="1" applyBorder="1" applyAlignment="1" applyProtection="1">
      <alignment vertical="center"/>
      <protection locked="0"/>
    </xf>
    <xf numFmtId="3" fontId="3" fillId="0" borderId="37" xfId="0" applyNumberFormat="1" applyFont="1" applyBorder="1" applyAlignment="1">
      <alignment vertical="center"/>
    </xf>
    <xf numFmtId="0" fontId="39" fillId="0" borderId="0" xfId="0" applyFont="1" applyAlignment="1">
      <alignment vertical="center"/>
    </xf>
    <xf numFmtId="0" fontId="54" fillId="46" borderId="42" xfId="0" applyFont="1" applyFill="1" applyBorder="1" applyAlignment="1">
      <alignment horizontal="centerContinuous" vertical="center"/>
    </xf>
    <xf numFmtId="0" fontId="54" fillId="46" borderId="3" xfId="0" applyFont="1" applyFill="1" applyBorder="1" applyAlignment="1">
      <alignment horizontal="centerContinuous" vertical="center"/>
    </xf>
    <xf numFmtId="3" fontId="3" fillId="45" borderId="5" xfId="161" applyNumberFormat="1" applyFill="1" applyBorder="1" applyAlignment="1" applyProtection="1">
      <alignment vertical="center"/>
      <protection locked="0"/>
    </xf>
    <xf numFmtId="3" fontId="3" fillId="0" borderId="31" xfId="161" applyNumberFormat="1" applyBorder="1" applyAlignment="1">
      <alignment vertical="center"/>
    </xf>
    <xf numFmtId="3" fontId="3" fillId="0" borderId="60" xfId="161" applyNumberFormat="1" applyBorder="1" applyAlignment="1">
      <alignment vertical="center"/>
    </xf>
    <xf numFmtId="3" fontId="3" fillId="0" borderId="37" xfId="161" applyNumberFormat="1" applyBorder="1" applyAlignment="1">
      <alignment vertical="center"/>
    </xf>
    <xf numFmtId="173" fontId="3" fillId="0" borderId="0" xfId="0" applyNumberFormat="1" applyFont="1" applyAlignment="1">
      <alignment horizontal="right" vertical="center"/>
    </xf>
    <xf numFmtId="3" fontId="3" fillId="0" borderId="0" xfId="0" applyNumberFormat="1" applyFont="1" applyAlignment="1">
      <alignment vertical="center"/>
    </xf>
    <xf numFmtId="0" fontId="3" fillId="46" borderId="41" xfId="0" applyFont="1" applyFill="1" applyBorder="1" applyAlignment="1">
      <alignment horizontal="centerContinuous" vertical="center"/>
    </xf>
    <xf numFmtId="0" fontId="3" fillId="46" borderId="73" xfId="0" applyFont="1" applyFill="1" applyBorder="1" applyAlignment="1">
      <alignment horizontal="centerContinuous" vertical="center"/>
    </xf>
    <xf numFmtId="14" fontId="3" fillId="46" borderId="41" xfId="0" applyNumberFormat="1" applyFont="1" applyFill="1" applyBorder="1" applyAlignment="1">
      <alignment horizontal="centerContinuous" vertical="center" wrapText="1"/>
    </xf>
    <xf numFmtId="173" fontId="3" fillId="46" borderId="41" xfId="0" applyNumberFormat="1" applyFont="1" applyFill="1" applyBorder="1" applyAlignment="1">
      <alignment horizontal="centerContinuous" vertical="center" wrapText="1"/>
    </xf>
    <xf numFmtId="173" fontId="3" fillId="46" borderId="41" xfId="0" applyNumberFormat="1" applyFont="1" applyFill="1" applyBorder="1" applyAlignment="1">
      <alignment horizontal="centerContinuous" vertical="center"/>
    </xf>
    <xf numFmtId="173" fontId="3" fillId="46" borderId="75" xfId="0" applyNumberFormat="1" applyFont="1" applyFill="1" applyBorder="1" applyAlignment="1">
      <alignment horizontal="centerContinuous" vertical="center" wrapText="1"/>
    </xf>
    <xf numFmtId="0" fontId="54" fillId="46" borderId="57" xfId="161" applyFont="1" applyFill="1" applyBorder="1" applyAlignment="1">
      <alignment horizontal="center" vertical="center" wrapText="1"/>
    </xf>
    <xf numFmtId="0" fontId="54" fillId="46" borderId="8" xfId="161" applyFont="1" applyFill="1" applyBorder="1" applyAlignment="1">
      <alignment horizontal="center" vertical="center" wrapText="1"/>
    </xf>
    <xf numFmtId="0" fontId="54" fillId="46" borderId="8" xfId="163" applyFont="1" applyFill="1" applyBorder="1" applyAlignment="1">
      <alignment horizontal="center" vertical="center" wrapText="1"/>
    </xf>
    <xf numFmtId="0" fontId="54" fillId="46" borderId="76" xfId="161" applyFont="1" applyFill="1" applyBorder="1" applyAlignment="1">
      <alignment horizontal="center" vertical="center" wrapText="1"/>
    </xf>
    <xf numFmtId="3" fontId="3" fillId="44" borderId="1" xfId="161" applyNumberFormat="1" applyFill="1" applyBorder="1" applyAlignment="1">
      <alignment vertical="center"/>
    </xf>
    <xf numFmtId="3" fontId="3" fillId="44" borderId="4" xfId="161" applyNumberFormat="1" applyFill="1" applyBorder="1" applyAlignment="1">
      <alignment vertical="center"/>
    </xf>
    <xf numFmtId="3" fontId="3" fillId="44" borderId="39" xfId="161" applyNumberFormat="1" applyFill="1" applyBorder="1" applyAlignment="1">
      <alignment vertical="center"/>
    </xf>
    <xf numFmtId="3" fontId="3" fillId="44" borderId="61" xfId="161" applyNumberFormat="1" applyFill="1" applyBorder="1" applyAlignment="1">
      <alignment vertical="center"/>
    </xf>
    <xf numFmtId="3" fontId="3" fillId="43" borderId="3" xfId="161" applyNumberFormat="1" applyFill="1" applyBorder="1" applyAlignment="1">
      <alignment horizontal="center" vertical="center" wrapText="1"/>
    </xf>
    <xf numFmtId="3" fontId="3" fillId="43" borderId="7" xfId="161" applyNumberFormat="1" applyFill="1" applyBorder="1" applyAlignment="1">
      <alignment horizontal="center" vertical="center" wrapText="1"/>
    </xf>
    <xf numFmtId="3" fontId="3" fillId="45" borderId="8" xfId="161" applyNumberFormat="1" applyFill="1" applyBorder="1" applyAlignment="1" applyProtection="1">
      <alignment vertical="center"/>
      <protection locked="0"/>
    </xf>
    <xf numFmtId="3" fontId="3" fillId="43" borderId="0" xfId="161" applyNumberFormat="1" applyFill="1" applyAlignment="1">
      <alignment vertical="center"/>
    </xf>
    <xf numFmtId="3" fontId="3" fillId="44" borderId="28" xfId="161" applyNumberFormat="1" applyFill="1" applyBorder="1" applyAlignment="1">
      <alignment horizontal="center" vertical="center"/>
    </xf>
    <xf numFmtId="3" fontId="3" fillId="43" borderId="4" xfId="161" applyNumberFormat="1" applyFill="1" applyBorder="1" applyAlignment="1">
      <alignment vertical="center"/>
    </xf>
    <xf numFmtId="3" fontId="3" fillId="43" borderId="7" xfId="161" applyNumberFormat="1" applyFill="1" applyBorder="1" applyAlignment="1">
      <alignment vertical="center"/>
    </xf>
    <xf numFmtId="3" fontId="3" fillId="44" borderId="25" xfId="161" applyNumberFormat="1" applyFill="1" applyBorder="1" applyAlignment="1">
      <alignment vertical="center"/>
    </xf>
    <xf numFmtId="3" fontId="3" fillId="43" borderId="1" xfId="161" applyNumberFormat="1" applyFill="1" applyBorder="1" applyAlignment="1">
      <alignment horizontal="left" vertical="center"/>
    </xf>
    <xf numFmtId="3" fontId="3" fillId="43" borderId="39" xfId="161" applyNumberFormat="1" applyFill="1" applyBorder="1" applyAlignment="1">
      <alignment horizontal="left" vertical="center"/>
    </xf>
    <xf numFmtId="3" fontId="3" fillId="49" borderId="8" xfId="161" applyNumberFormat="1" applyFill="1" applyBorder="1" applyAlignment="1">
      <alignment vertical="center"/>
    </xf>
    <xf numFmtId="3" fontId="3" fillId="43" borderId="9" xfId="161" applyNumberFormat="1" applyFill="1" applyBorder="1" applyAlignment="1">
      <alignment horizontal="left" vertical="center"/>
    </xf>
    <xf numFmtId="3" fontId="3" fillId="43" borderId="0" xfId="161" applyNumberFormat="1" applyFill="1" applyAlignment="1">
      <alignment horizontal="left" vertical="center"/>
    </xf>
    <xf numFmtId="3" fontId="3" fillId="43" borderId="6" xfId="161" applyNumberFormat="1" applyFill="1" applyBorder="1" applyAlignment="1">
      <alignment horizontal="left" vertical="center"/>
    </xf>
    <xf numFmtId="3" fontId="3" fillId="43" borderId="7" xfId="161" applyNumberFormat="1" applyFill="1" applyBorder="1" applyAlignment="1">
      <alignment horizontal="left" vertical="center"/>
    </xf>
    <xf numFmtId="3" fontId="3" fillId="43" borderId="55" xfId="161" applyNumberFormat="1" applyFill="1" applyBorder="1" applyAlignment="1">
      <alignment vertical="center"/>
    </xf>
    <xf numFmtId="0" fontId="3" fillId="0" borderId="34" xfId="161" applyBorder="1" applyAlignment="1">
      <alignment vertical="center"/>
    </xf>
    <xf numFmtId="3" fontId="3" fillId="0" borderId="35" xfId="161" applyNumberFormat="1" applyBorder="1" applyAlignment="1">
      <alignment vertical="center"/>
    </xf>
    <xf numFmtId="0" fontId="54" fillId="46" borderId="41" xfId="0" applyFont="1" applyFill="1" applyBorder="1" applyAlignment="1">
      <alignment vertical="center"/>
    </xf>
    <xf numFmtId="0" fontId="54" fillId="46" borderId="75" xfId="0" applyFont="1" applyFill="1" applyBorder="1" applyAlignment="1">
      <alignment vertical="center"/>
    </xf>
    <xf numFmtId="0" fontId="54" fillId="46" borderId="27" xfId="0" applyFont="1" applyFill="1" applyBorder="1" applyAlignment="1">
      <alignment horizontal="centerContinuous" vertical="center"/>
    </xf>
    <xf numFmtId="0" fontId="54" fillId="46" borderId="4" xfId="0" applyFont="1" applyFill="1" applyBorder="1" applyAlignment="1">
      <alignment horizontal="centerContinuous" vertical="center"/>
    </xf>
    <xf numFmtId="0" fontId="54" fillId="46" borderId="10" xfId="0" applyFont="1" applyFill="1" applyBorder="1" applyAlignment="1">
      <alignment horizontal="centerContinuous" vertical="center"/>
    </xf>
    <xf numFmtId="0" fontId="54" fillId="46" borderId="4" xfId="0" applyFont="1" applyFill="1" applyBorder="1" applyAlignment="1">
      <alignment horizontal="centerContinuous" vertical="center" wrapText="1"/>
    </xf>
    <xf numFmtId="0" fontId="54" fillId="46" borderId="10" xfId="0" applyFont="1" applyFill="1" applyBorder="1" applyAlignment="1">
      <alignment horizontal="centerContinuous" vertical="center" wrapText="1"/>
    </xf>
    <xf numFmtId="0" fontId="54" fillId="46" borderId="56" xfId="0" applyFont="1" applyFill="1" applyBorder="1" applyAlignment="1">
      <alignment horizontal="center" vertical="center" wrapText="1"/>
    </xf>
    <xf numFmtId="0" fontId="54" fillId="46" borderId="5" xfId="0" applyFont="1" applyFill="1" applyBorder="1" applyAlignment="1">
      <alignment horizontal="center" vertical="center" wrapText="1"/>
    </xf>
    <xf numFmtId="0" fontId="54" fillId="46" borderId="2" xfId="0" applyFont="1" applyFill="1" applyBorder="1" applyAlignment="1">
      <alignment horizontal="center" vertical="center" wrapText="1"/>
    </xf>
    <xf numFmtId="0" fontId="54" fillId="46" borderId="1" xfId="0" applyFont="1" applyFill="1" applyBorder="1" applyAlignment="1">
      <alignment horizontal="center" vertical="center" wrapText="1"/>
    </xf>
    <xf numFmtId="0" fontId="54" fillId="46" borderId="31" xfId="0" applyFont="1" applyFill="1" applyBorder="1" applyAlignment="1">
      <alignment horizontal="center" vertical="center" wrapText="1"/>
    </xf>
    <xf numFmtId="0" fontId="3" fillId="49" borderId="27" xfId="0" applyFont="1" applyFill="1" applyBorder="1" applyAlignment="1">
      <alignment vertical="center"/>
    </xf>
    <xf numFmtId="0" fontId="3" fillId="49" borderId="4" xfId="0" applyFont="1" applyFill="1" applyBorder="1" applyAlignment="1">
      <alignment vertical="center"/>
    </xf>
    <xf numFmtId="14" fontId="3" fillId="49" borderId="4" xfId="0" applyNumberFormat="1" applyFont="1" applyFill="1" applyBorder="1" applyAlignment="1">
      <alignment horizontal="right" vertical="center" wrapText="1"/>
    </xf>
    <xf numFmtId="173" fontId="3" fillId="49" borderId="4" xfId="0" applyNumberFormat="1" applyFont="1" applyFill="1" applyBorder="1" applyAlignment="1">
      <alignment horizontal="right" vertical="center" wrapText="1"/>
    </xf>
    <xf numFmtId="173" fontId="3" fillId="49" borderId="10" xfId="0" applyNumberFormat="1" applyFont="1" applyFill="1" applyBorder="1" applyAlignment="1">
      <alignment horizontal="right" vertical="center" wrapText="1"/>
    </xf>
    <xf numFmtId="3" fontId="3" fillId="0" borderId="5" xfId="0" applyNumberFormat="1" applyFont="1" applyBorder="1" applyAlignment="1">
      <alignment vertical="center"/>
    </xf>
    <xf numFmtId="172" fontId="3" fillId="43" borderId="5" xfId="0" applyNumberFormat="1" applyFont="1" applyFill="1" applyBorder="1" applyAlignment="1">
      <alignment vertical="center"/>
    </xf>
    <xf numFmtId="0" fontId="3" fillId="9" borderId="27" xfId="0" applyFont="1" applyFill="1" applyBorder="1" applyAlignment="1" applyProtection="1">
      <alignment horizontal="left" vertical="center"/>
      <protection locked="0"/>
    </xf>
    <xf numFmtId="0" fontId="3" fillId="9" borderId="5" xfId="0" applyFont="1" applyFill="1" applyBorder="1" applyAlignment="1" applyProtection="1">
      <alignment horizontal="center" vertical="center"/>
      <protection locked="0"/>
    </xf>
    <xf numFmtId="3" fontId="3" fillId="9" borderId="5" xfId="0" applyNumberFormat="1" applyFont="1" applyFill="1" applyBorder="1" applyAlignment="1" applyProtection="1">
      <alignment horizontal="right" vertical="center"/>
      <protection locked="0"/>
    </xf>
    <xf numFmtId="4" fontId="3" fillId="9" borderId="3" xfId="0" applyNumberFormat="1" applyFont="1" applyFill="1" applyBorder="1" applyAlignment="1" applyProtection="1">
      <alignment horizontal="right" vertical="center"/>
      <protection locked="0"/>
    </xf>
    <xf numFmtId="174" fontId="3" fillId="9" borderId="5" xfId="0" applyNumberFormat="1" applyFont="1" applyFill="1" applyBorder="1" applyAlignment="1" applyProtection="1">
      <alignment horizontal="center" vertical="center"/>
      <protection locked="0"/>
    </xf>
    <xf numFmtId="3" fontId="3" fillId="47" borderId="5" xfId="0" applyNumberFormat="1" applyFont="1" applyFill="1" applyBorder="1" applyAlignment="1" applyProtection="1">
      <alignment horizontal="right" vertical="center"/>
      <protection locked="0"/>
    </xf>
    <xf numFmtId="4" fontId="3" fillId="47" borderId="5" xfId="0" applyNumberFormat="1" applyFont="1" applyFill="1" applyBorder="1" applyAlignment="1" applyProtection="1">
      <alignment horizontal="right" vertical="center"/>
      <protection locked="0"/>
    </xf>
    <xf numFmtId="3" fontId="3" fillId="47" borderId="31" xfId="0" applyNumberFormat="1" applyFont="1" applyFill="1" applyBorder="1" applyAlignment="1" applyProtection="1">
      <alignment horizontal="right" vertical="center"/>
      <protection locked="0"/>
    </xf>
    <xf numFmtId="3" fontId="3" fillId="47" borderId="2" xfId="0" applyNumberFormat="1" applyFont="1" applyFill="1" applyBorder="1" applyAlignment="1" applyProtection="1">
      <alignment horizontal="right" vertical="center"/>
      <protection locked="0"/>
    </xf>
    <xf numFmtId="0" fontId="3" fillId="9" borderId="3" xfId="0" applyFont="1" applyFill="1" applyBorder="1" applyAlignment="1" applyProtection="1">
      <alignment horizontal="left" vertical="center"/>
      <protection locked="0"/>
    </xf>
    <xf numFmtId="0" fontId="3" fillId="9" borderId="4" xfId="0" applyFont="1" applyFill="1" applyBorder="1" applyAlignment="1" applyProtection="1">
      <alignment horizontal="left" vertical="center"/>
      <protection locked="0"/>
    </xf>
    <xf numFmtId="0" fontId="3" fillId="9" borderId="10" xfId="0" applyFont="1" applyFill="1" applyBorder="1" applyAlignment="1" applyProtection="1">
      <alignment horizontal="left" vertical="center"/>
      <protection locked="0"/>
    </xf>
    <xf numFmtId="0" fontId="3" fillId="9" borderId="34" xfId="0" applyFont="1" applyFill="1" applyBorder="1" applyAlignment="1" applyProtection="1">
      <alignment horizontal="left" vertical="center"/>
      <protection locked="0"/>
    </xf>
    <xf numFmtId="0" fontId="3" fillId="9" borderId="60" xfId="0" applyFont="1" applyFill="1" applyBorder="1" applyAlignment="1" applyProtection="1">
      <alignment horizontal="center" vertical="center"/>
      <protection locked="0"/>
    </xf>
    <xf numFmtId="3" fontId="3" fillId="9" borderId="60" xfId="0" applyNumberFormat="1" applyFont="1" applyFill="1" applyBorder="1" applyAlignment="1" applyProtection="1">
      <alignment horizontal="right" vertical="center"/>
      <protection locked="0"/>
    </xf>
    <xf numFmtId="4" fontId="3" fillId="9" borderId="74" xfId="0" applyNumberFormat="1" applyFont="1" applyFill="1" applyBorder="1" applyAlignment="1" applyProtection="1">
      <alignment horizontal="right" vertical="center"/>
      <protection locked="0"/>
    </xf>
    <xf numFmtId="174" fontId="3" fillId="9" borderId="60" xfId="0" applyNumberFormat="1" applyFont="1" applyFill="1" applyBorder="1" applyAlignment="1" applyProtection="1">
      <alignment horizontal="center" vertical="center"/>
      <protection locked="0"/>
    </xf>
    <xf numFmtId="3" fontId="3" fillId="47" borderId="60" xfId="0" applyNumberFormat="1" applyFont="1" applyFill="1" applyBorder="1" applyAlignment="1" applyProtection="1">
      <alignment horizontal="right" vertical="center"/>
      <protection locked="0"/>
    </xf>
    <xf numFmtId="4" fontId="3" fillId="47" borderId="60" xfId="0" applyNumberFormat="1" applyFont="1" applyFill="1" applyBorder="1" applyAlignment="1" applyProtection="1">
      <alignment horizontal="right" vertical="center"/>
      <protection locked="0"/>
    </xf>
    <xf numFmtId="3" fontId="3" fillId="47" borderId="37" xfId="0" applyNumberFormat="1" applyFont="1" applyFill="1" applyBorder="1" applyAlignment="1" applyProtection="1">
      <alignment horizontal="right" vertical="center"/>
      <protection locked="0"/>
    </xf>
    <xf numFmtId="3" fontId="3" fillId="49" borderId="0" xfId="161" applyNumberFormat="1" applyFill="1" applyAlignment="1">
      <alignment vertical="center"/>
    </xf>
    <xf numFmtId="14" fontId="6" fillId="0" borderId="0" xfId="0" applyNumberFormat="1" applyFont="1"/>
    <xf numFmtId="1" fontId="6" fillId="0" borderId="0" xfId="0" applyNumberFormat="1" applyFont="1"/>
    <xf numFmtId="0" fontId="5" fillId="43" borderId="18" xfId="0" applyFont="1" applyFill="1" applyBorder="1" applyAlignment="1">
      <alignment horizontal="center" wrapText="1"/>
    </xf>
    <xf numFmtId="0" fontId="5" fillId="43" borderId="24" xfId="0" applyFont="1" applyFill="1" applyBorder="1" applyAlignment="1">
      <alignment horizontal="center" wrapText="1"/>
    </xf>
    <xf numFmtId="0" fontId="5" fillId="43" borderId="16" xfId="0" applyFont="1" applyFill="1" applyBorder="1" applyAlignment="1">
      <alignment horizontal="center" wrapText="1"/>
    </xf>
    <xf numFmtId="0" fontId="5" fillId="43" borderId="29" xfId="0" applyFont="1" applyFill="1" applyBorder="1" applyAlignment="1">
      <alignment horizontal="center" wrapText="1"/>
    </xf>
    <xf numFmtId="0" fontId="5" fillId="43" borderId="64" xfId="0" applyFont="1" applyFill="1" applyBorder="1" applyAlignment="1">
      <alignment horizontal="center" wrapText="1"/>
    </xf>
    <xf numFmtId="0" fontId="5" fillId="43" borderId="63" xfId="0" applyFont="1" applyFill="1" applyBorder="1" applyAlignment="1">
      <alignment horizontal="center" wrapText="1"/>
    </xf>
    <xf numFmtId="4" fontId="5" fillId="43" borderId="0" xfId="0" applyNumberFormat="1" applyFont="1" applyFill="1"/>
    <xf numFmtId="4" fontId="5" fillId="43" borderId="28" xfId="0" applyNumberFormat="1" applyFont="1" applyFill="1" applyBorder="1" applyAlignment="1">
      <alignment vertical="center"/>
    </xf>
    <xf numFmtId="4" fontId="5" fillId="43" borderId="0" xfId="0" applyNumberFormat="1" applyFont="1" applyFill="1" applyAlignment="1">
      <alignment vertical="center"/>
    </xf>
    <xf numFmtId="4" fontId="5" fillId="10" borderId="0" xfId="0" applyNumberFormat="1" applyFont="1" applyFill="1" applyAlignment="1">
      <alignment vertical="center"/>
    </xf>
    <xf numFmtId="4" fontId="5" fillId="43" borderId="18" xfId="0" applyNumberFormat="1" applyFont="1" applyFill="1" applyBorder="1" applyAlignment="1">
      <alignment vertical="center"/>
    </xf>
    <xf numFmtId="4" fontId="5" fillId="43" borderId="24" xfId="0" applyNumberFormat="1" applyFont="1" applyFill="1" applyBorder="1" applyAlignment="1">
      <alignment vertical="center"/>
    </xf>
    <xf numFmtId="4" fontId="5" fillId="43" borderId="7" xfId="0" applyNumberFormat="1" applyFont="1" applyFill="1" applyBorder="1" applyAlignment="1">
      <alignment vertical="center"/>
    </xf>
    <xf numFmtId="4" fontId="5" fillId="10" borderId="11" xfId="0" applyNumberFormat="1" applyFont="1" applyFill="1" applyBorder="1" applyAlignment="1">
      <alignment vertical="center"/>
    </xf>
    <xf numFmtId="4" fontId="5" fillId="43" borderId="16" xfId="0" applyNumberFormat="1" applyFont="1" applyFill="1" applyBorder="1"/>
    <xf numFmtId="4" fontId="5" fillId="43" borderId="29" xfId="0" applyNumberFormat="1" applyFont="1" applyFill="1" applyBorder="1"/>
    <xf numFmtId="4" fontId="5" fillId="43" borderId="0" xfId="1" applyNumberFormat="1" applyFont="1" applyFill="1" applyBorder="1" applyAlignment="1" applyProtection="1">
      <alignment vertical="center"/>
    </xf>
    <xf numFmtId="4" fontId="5" fillId="10" borderId="28" xfId="0" applyNumberFormat="1" applyFont="1" applyFill="1" applyBorder="1" applyAlignment="1">
      <alignment vertical="center"/>
    </xf>
    <xf numFmtId="4" fontId="5" fillId="43" borderId="18" xfId="0" applyNumberFormat="1" applyFont="1" applyFill="1" applyBorder="1"/>
    <xf numFmtId="4" fontId="39" fillId="43" borderId="0" xfId="0" applyNumberFormat="1" applyFont="1" applyFill="1"/>
    <xf numFmtId="4" fontId="5" fillId="43" borderId="7" xfId="0" applyNumberFormat="1" applyFont="1" applyFill="1" applyBorder="1"/>
    <xf numFmtId="4" fontId="5" fillId="43" borderId="16" xfId="1" applyNumberFormat="1" applyFont="1" applyFill="1" applyBorder="1" applyProtection="1"/>
    <xf numFmtId="14" fontId="23" fillId="0" borderId="0" xfId="2" applyNumberFormat="1" applyFont="1"/>
    <xf numFmtId="4" fontId="6" fillId="43" borderId="6" xfId="0" applyNumberFormat="1" applyFont="1" applyFill="1" applyBorder="1"/>
    <xf numFmtId="4" fontId="6" fillId="43" borderId="11" xfId="0" applyNumberFormat="1" applyFont="1" applyFill="1" applyBorder="1"/>
    <xf numFmtId="4" fontId="6" fillId="44" borderId="1" xfId="0" applyNumberFormat="1" applyFont="1" applyFill="1" applyBorder="1"/>
    <xf numFmtId="4" fontId="6" fillId="44" borderId="12" xfId="0" applyNumberFormat="1" applyFont="1" applyFill="1" applyBorder="1"/>
    <xf numFmtId="4" fontId="6" fillId="43" borderId="16" xfId="0" applyNumberFormat="1" applyFont="1" applyFill="1" applyBorder="1"/>
    <xf numFmtId="4" fontId="6" fillId="43" borderId="18" xfId="0" applyNumberFormat="1" applyFont="1" applyFill="1" applyBorder="1" applyAlignment="1">
      <alignment vertical="center"/>
    </xf>
    <xf numFmtId="4" fontId="6" fillId="43" borderId="7" xfId="0" applyNumberFormat="1" applyFont="1" applyFill="1" applyBorder="1" applyAlignment="1">
      <alignment vertical="center"/>
    </xf>
    <xf numFmtId="4" fontId="6" fillId="43" borderId="21" xfId="1" applyNumberFormat="1" applyFont="1" applyFill="1" applyBorder="1" applyProtection="1"/>
    <xf numFmtId="4" fontId="6" fillId="43" borderId="22" xfId="1" applyNumberFormat="1" applyFont="1" applyFill="1" applyBorder="1" applyProtection="1"/>
    <xf numFmtId="4" fontId="6" fillId="43" borderId="11" xfId="1" applyNumberFormat="1" applyFont="1" applyFill="1" applyBorder="1" applyProtection="1"/>
    <xf numFmtId="4" fontId="6" fillId="43" borderId="15" xfId="1" applyNumberFormat="1" applyFont="1" applyFill="1" applyBorder="1" applyProtection="1"/>
    <xf numFmtId="0" fontId="0" fillId="46" borderId="5" xfId="0" applyFill="1" applyBorder="1" applyAlignment="1">
      <alignment vertical="center"/>
    </xf>
    <xf numFmtId="0" fontId="0" fillId="50" borderId="0" xfId="0" applyFill="1" applyAlignment="1">
      <alignment vertical="center"/>
    </xf>
    <xf numFmtId="0" fontId="0" fillId="50" borderId="5" xfId="0" applyFill="1" applyBorder="1" applyAlignment="1">
      <alignment vertical="center"/>
    </xf>
    <xf numFmtId="0" fontId="23" fillId="6" borderId="26" xfId="2" applyFont="1" applyFill="1" applyBorder="1" applyAlignment="1">
      <alignment wrapText="1"/>
    </xf>
    <xf numFmtId="0" fontId="6" fillId="8" borderId="26" xfId="2" applyFont="1" applyFill="1" applyBorder="1" applyAlignment="1">
      <alignment wrapText="1"/>
    </xf>
    <xf numFmtId="0" fontId="23" fillId="0" borderId="0" xfId="2" applyFont="1" applyAlignment="1">
      <alignment vertical="top" wrapText="1"/>
    </xf>
    <xf numFmtId="0" fontId="78" fillId="0" borderId="0" xfId="164" applyFont="1"/>
    <xf numFmtId="0" fontId="77" fillId="0" borderId="7" xfId="164" applyFont="1" applyBorder="1"/>
    <xf numFmtId="0" fontId="79" fillId="51" borderId="0" xfId="164" applyFont="1" applyFill="1" applyAlignment="1">
      <alignment horizontal="left" vertical="center"/>
    </xf>
    <xf numFmtId="0" fontId="77" fillId="51" borderId="22" xfId="164" applyFont="1" applyFill="1" applyBorder="1" applyAlignment="1">
      <alignment horizontal="center" vertical="center"/>
    </xf>
    <xf numFmtId="4" fontId="77" fillId="51" borderId="0" xfId="164" quotePrefix="1" applyNumberFormat="1" applyFont="1" applyFill="1" applyAlignment="1">
      <alignment horizontal="right" wrapText="1"/>
    </xf>
    <xf numFmtId="0" fontId="79" fillId="51" borderId="0" xfId="165" applyFont="1" applyFill="1"/>
    <xf numFmtId="0" fontId="79" fillId="51" borderId="22" xfId="165" applyFont="1" applyFill="1" applyBorder="1" applyAlignment="1">
      <alignment horizontal="center" vertical="center"/>
    </xf>
    <xf numFmtId="4" fontId="77" fillId="51" borderId="0" xfId="164" quotePrefix="1" applyNumberFormat="1" applyFont="1" applyFill="1" applyAlignment="1">
      <alignment wrapText="1"/>
    </xf>
    <xf numFmtId="0" fontId="79" fillId="4" borderId="0" xfId="165" applyFont="1" applyFill="1"/>
    <xf numFmtId="0" fontId="79" fillId="4" borderId="22" xfId="165" applyFont="1" applyFill="1" applyBorder="1" applyAlignment="1">
      <alignment horizontal="center" vertical="center"/>
    </xf>
    <xf numFmtId="4" fontId="77" fillId="4" borderId="0" xfId="164" quotePrefix="1" applyNumberFormat="1" applyFont="1" applyFill="1" applyAlignment="1">
      <alignment wrapText="1"/>
    </xf>
    <xf numFmtId="0" fontId="79" fillId="12" borderId="0" xfId="165" applyFont="1" applyFill="1"/>
    <xf numFmtId="0" fontId="79" fillId="12" borderId="22" xfId="165" applyFont="1" applyFill="1" applyBorder="1" applyAlignment="1">
      <alignment horizontal="center"/>
    </xf>
    <xf numFmtId="4" fontId="77" fillId="12" borderId="0" xfId="164" quotePrefix="1" applyNumberFormat="1" applyFont="1" applyFill="1" applyAlignment="1">
      <alignment wrapText="1"/>
    </xf>
    <xf numFmtId="0" fontId="79" fillId="12" borderId="22" xfId="165" applyFont="1" applyFill="1" applyBorder="1" applyAlignment="1">
      <alignment horizontal="center" vertical="center"/>
    </xf>
    <xf numFmtId="0" fontId="6" fillId="4" borderId="64" xfId="0" applyFont="1" applyFill="1" applyBorder="1" applyAlignment="1">
      <alignment horizontal="center" wrapText="1"/>
    </xf>
    <xf numFmtId="0" fontId="6" fillId="4" borderId="16" xfId="0" applyFont="1" applyFill="1" applyBorder="1" applyAlignment="1">
      <alignment horizontal="center" wrapText="1"/>
    </xf>
    <xf numFmtId="0" fontId="80" fillId="0" borderId="0" xfId="0" applyFont="1"/>
    <xf numFmtId="0" fontId="6" fillId="0" borderId="84" xfId="0" applyFont="1" applyBorder="1"/>
    <xf numFmtId="0" fontId="6" fillId="0" borderId="85" xfId="0" applyFont="1" applyBorder="1"/>
    <xf numFmtId="0" fontId="6" fillId="0" borderId="57" xfId="0" applyFont="1" applyBorder="1"/>
    <xf numFmtId="0" fontId="6" fillId="0" borderId="64" xfId="0" applyFont="1" applyBorder="1"/>
    <xf numFmtId="0" fontId="6" fillId="0" borderId="63" xfId="0" applyFont="1" applyBorder="1"/>
    <xf numFmtId="0" fontId="6" fillId="0" borderId="25" xfId="0" applyFont="1" applyBorder="1" applyAlignment="1">
      <alignment horizontal="center" wrapText="1"/>
    </xf>
    <xf numFmtId="0" fontId="6" fillId="0" borderId="59" xfId="0" applyFont="1" applyBorder="1"/>
    <xf numFmtId="0" fontId="6" fillId="0" borderId="62" xfId="0" applyFont="1" applyBorder="1"/>
    <xf numFmtId="4" fontId="6" fillId="0" borderId="83" xfId="0" applyNumberFormat="1" applyFont="1" applyBorder="1"/>
    <xf numFmtId="4" fontId="6" fillId="0" borderId="82" xfId="0" applyNumberFormat="1" applyFont="1" applyBorder="1"/>
    <xf numFmtId="0" fontId="6" fillId="0" borderId="24" xfId="0" applyFont="1" applyBorder="1" applyAlignment="1">
      <alignment horizontal="center" vertical="center"/>
    </xf>
    <xf numFmtId="0" fontId="77" fillId="0" borderId="11" xfId="164" applyFont="1" applyBorder="1"/>
    <xf numFmtId="0" fontId="77" fillId="0" borderId="1" xfId="164" applyFont="1" applyBorder="1"/>
    <xf numFmtId="0" fontId="77" fillId="0" borderId="6" xfId="164" applyFont="1" applyBorder="1" applyAlignment="1">
      <alignment wrapText="1"/>
    </xf>
    <xf numFmtId="0" fontId="23" fillId="0" borderId="79" xfId="2" applyFont="1" applyBorder="1" applyAlignment="1">
      <alignment horizontal="justify" vertical="top" wrapText="1"/>
    </xf>
    <xf numFmtId="0" fontId="23" fillId="0" borderId="80" xfId="2" applyFont="1" applyBorder="1" applyAlignment="1">
      <alignment horizontal="justify" vertical="top" wrapText="1"/>
    </xf>
    <xf numFmtId="0" fontId="23" fillId="0" borderId="81" xfId="2" applyFont="1" applyBorder="1" applyAlignment="1">
      <alignment horizontal="justify" vertical="top" wrapText="1"/>
    </xf>
    <xf numFmtId="0" fontId="23" fillId="0" borderId="79" xfId="2" applyFont="1" applyBorder="1" applyAlignment="1">
      <alignment vertical="top" wrapText="1"/>
    </xf>
    <xf numFmtId="0" fontId="23" fillId="0" borderId="80" xfId="2" applyFont="1" applyBorder="1" applyAlignment="1">
      <alignment vertical="top" wrapText="1"/>
    </xf>
    <xf numFmtId="0" fontId="23" fillId="0" borderId="81" xfId="2" applyFont="1" applyBorder="1" applyAlignment="1">
      <alignment vertical="top" wrapText="1"/>
    </xf>
    <xf numFmtId="0" fontId="6" fillId="0" borderId="0" xfId="0" applyFont="1" applyAlignment="1">
      <alignment wrapText="1"/>
    </xf>
    <xf numFmtId="0" fontId="23" fillId="0" borderId="0" xfId="2" applyFont="1" applyAlignment="1">
      <alignment vertical="top" wrapText="1"/>
    </xf>
    <xf numFmtId="4" fontId="6" fillId="14" borderId="0" xfId="0" applyNumberFormat="1" applyFont="1" applyFill="1" applyAlignment="1">
      <alignment wrapText="1"/>
    </xf>
    <xf numFmtId="4" fontId="6" fillId="16" borderId="0" xfId="0" applyNumberFormat="1" applyFont="1" applyFill="1" applyAlignment="1">
      <alignment wrapText="1"/>
    </xf>
    <xf numFmtId="0" fontId="28" fillId="0" borderId="0" xfId="2" applyFont="1" applyAlignment="1">
      <alignment wrapText="1"/>
    </xf>
    <xf numFmtId="0" fontId="6" fillId="0" borderId="39" xfId="0" applyFont="1" applyBorder="1" applyAlignment="1">
      <alignment horizontal="center" textRotation="90"/>
    </xf>
    <xf numFmtId="0" fontId="6" fillId="0" borderId="0" xfId="0" applyFont="1" applyAlignment="1">
      <alignment horizontal="center" textRotation="90"/>
    </xf>
    <xf numFmtId="0" fontId="6" fillId="0" borderId="7" xfId="0" applyFont="1" applyBorder="1" applyAlignment="1">
      <alignment horizontal="center" textRotation="90"/>
    </xf>
    <xf numFmtId="0" fontId="6" fillId="0" borderId="1" xfId="0" applyFont="1" applyBorder="1" applyAlignment="1">
      <alignment horizontal="left" vertical="top" wrapText="1"/>
    </xf>
    <xf numFmtId="0" fontId="6" fillId="0" borderId="39" xfId="0" applyFont="1" applyBorder="1" applyAlignment="1">
      <alignment horizontal="left" vertical="top" wrapText="1"/>
    </xf>
    <xf numFmtId="0" fontId="6" fillId="0" borderId="12" xfId="0" applyFont="1" applyBorder="1" applyAlignment="1">
      <alignment horizontal="left" vertical="top" wrapText="1"/>
    </xf>
    <xf numFmtId="0" fontId="6" fillId="0" borderId="9" xfId="0" applyFont="1" applyBorder="1" applyAlignment="1">
      <alignment horizontal="left" vertical="top" wrapText="1"/>
    </xf>
    <xf numFmtId="0" fontId="6" fillId="0" borderId="0" xfId="0" applyFont="1" applyAlignment="1">
      <alignment horizontal="left" vertical="top" wrapText="1"/>
    </xf>
    <xf numFmtId="0" fontId="6" fillId="0" borderId="22" xfId="0" applyFont="1" applyBorder="1" applyAlignment="1">
      <alignment horizontal="left" vertical="top" wrapText="1"/>
    </xf>
    <xf numFmtId="0" fontId="6" fillId="0" borderId="6" xfId="0" applyFont="1" applyBorder="1" applyAlignment="1">
      <alignment horizontal="left" vertical="top" wrapText="1"/>
    </xf>
    <xf numFmtId="0" fontId="6" fillId="0" borderId="7" xfId="0" applyFont="1" applyBorder="1" applyAlignment="1">
      <alignment horizontal="left" vertical="top" wrapText="1"/>
    </xf>
    <xf numFmtId="0" fontId="6" fillId="0" borderId="11" xfId="0" applyFont="1" applyBorder="1" applyAlignment="1">
      <alignment horizontal="left" vertical="top" wrapText="1"/>
    </xf>
    <xf numFmtId="0" fontId="6" fillId="0" borderId="39" xfId="0" applyFont="1" applyBorder="1" applyAlignment="1">
      <alignment horizontal="center" wrapText="1"/>
    </xf>
    <xf numFmtId="0" fontId="6" fillId="0" borderId="0" xfId="0" applyFont="1" applyAlignment="1">
      <alignment horizontal="center" wrapText="1"/>
    </xf>
    <xf numFmtId="0" fontId="6" fillId="0" borderId="12" xfId="0" applyFont="1" applyBorder="1" applyAlignment="1">
      <alignment horizontal="center" wrapText="1"/>
    </xf>
    <xf numFmtId="0" fontId="6" fillId="0" borderId="22" xfId="0" applyFont="1" applyBorder="1" applyAlignment="1">
      <alignment horizontal="center" wrapText="1"/>
    </xf>
    <xf numFmtId="0" fontId="6" fillId="4" borderId="4" xfId="0" applyFont="1" applyFill="1" applyBorder="1" applyProtection="1">
      <protection locked="0"/>
    </xf>
    <xf numFmtId="0" fontId="6" fillId="0" borderId="7" xfId="0" applyFont="1" applyBorder="1"/>
    <xf numFmtId="0" fontId="6" fillId="4" borderId="39" xfId="0" applyFont="1" applyFill="1" applyBorder="1" applyProtection="1">
      <protection locked="0"/>
    </xf>
    <xf numFmtId="0" fontId="6" fillId="4" borderId="0" xfId="0" applyFont="1" applyFill="1" applyProtection="1">
      <protection locked="0"/>
    </xf>
    <xf numFmtId="0" fontId="6" fillId="4" borderId="7" xfId="0" applyFont="1" applyFill="1" applyBorder="1" applyProtection="1">
      <protection locked="0"/>
    </xf>
    <xf numFmtId="0" fontId="3" fillId="0" borderId="34" xfId="0" applyFont="1" applyBorder="1" applyAlignment="1">
      <alignment horizontal="left" vertical="center" wrapText="1"/>
    </xf>
    <xf numFmtId="0" fontId="3" fillId="0" borderId="36" xfId="0" applyFont="1" applyBorder="1" applyAlignment="1">
      <alignment vertical="center"/>
    </xf>
    <xf numFmtId="0" fontId="54" fillId="46" borderId="42" xfId="0" applyFont="1" applyFill="1" applyBorder="1" applyAlignment="1">
      <alignment horizontal="center" vertical="center" wrapText="1"/>
    </xf>
    <xf numFmtId="0" fontId="54" fillId="46" borderId="41" xfId="0" applyFont="1" applyFill="1" applyBorder="1" applyAlignment="1">
      <alignment horizontal="center" vertical="center" wrapText="1"/>
    </xf>
    <xf numFmtId="0" fontId="54" fillId="46" borderId="3" xfId="0" applyFont="1" applyFill="1" applyBorder="1" applyAlignment="1">
      <alignment horizontal="center" vertical="center"/>
    </xf>
    <xf numFmtId="0" fontId="54" fillId="46" borderId="4" xfId="0" applyFont="1" applyFill="1" applyBorder="1" applyAlignment="1">
      <alignment horizontal="center" vertical="center"/>
    </xf>
    <xf numFmtId="0" fontId="54" fillId="46" borderId="10" xfId="0" applyFont="1" applyFill="1" applyBorder="1" applyAlignment="1">
      <alignment horizontal="center" vertical="center"/>
    </xf>
    <xf numFmtId="0" fontId="54" fillId="46" borderId="3" xfId="0" applyFont="1" applyFill="1" applyBorder="1" applyAlignment="1">
      <alignment horizontal="center" vertical="center" wrapText="1"/>
    </xf>
    <xf numFmtId="0" fontId="3" fillId="0" borderId="55" xfId="0" applyFont="1" applyBorder="1" applyAlignment="1">
      <alignment horizontal="center" vertical="center" wrapText="1"/>
    </xf>
    <xf numFmtId="0" fontId="54" fillId="46" borderId="42" xfId="0" applyFont="1" applyFill="1" applyBorder="1" applyAlignment="1">
      <alignment horizontal="left" vertical="center" wrapText="1"/>
    </xf>
    <xf numFmtId="0" fontId="54" fillId="46" borderId="43" xfId="0" applyFont="1" applyFill="1" applyBorder="1" applyAlignment="1">
      <alignment horizontal="left" vertical="center" wrapText="1"/>
    </xf>
    <xf numFmtId="0" fontId="3" fillId="0" borderId="58" xfId="0" applyFont="1" applyBorder="1" applyAlignment="1">
      <alignment horizontal="left" vertical="center" wrapText="1"/>
    </xf>
    <xf numFmtId="0" fontId="3" fillId="0" borderId="12" xfId="0" applyFont="1" applyBorder="1" applyAlignment="1">
      <alignment vertical="center"/>
    </xf>
    <xf numFmtId="0" fontId="3" fillId="0" borderId="59" xfId="161" applyBorder="1" applyAlignment="1">
      <alignment horizontal="left" vertical="center" wrapText="1"/>
    </xf>
    <xf numFmtId="0" fontId="3" fillId="0" borderId="71" xfId="161" applyBorder="1" applyAlignment="1">
      <alignment horizontal="left" vertical="center" wrapText="1"/>
    </xf>
    <xf numFmtId="0" fontId="3" fillId="0" borderId="72" xfId="161" applyBorder="1" applyAlignment="1">
      <alignment horizontal="left" vertical="center" wrapText="1"/>
    </xf>
    <xf numFmtId="0" fontId="3" fillId="0" borderId="78" xfId="161" applyBorder="1" applyAlignment="1">
      <alignment horizontal="left" vertical="center" wrapText="1"/>
    </xf>
    <xf numFmtId="3" fontId="3" fillId="45" borderId="40" xfId="161" applyNumberFormat="1" applyFill="1" applyBorder="1" applyAlignment="1" applyProtection="1">
      <alignment horizontal="right" vertical="center"/>
      <protection locked="0"/>
    </xf>
    <xf numFmtId="3" fontId="3" fillId="45" borderId="77" xfId="161" applyNumberFormat="1" applyFill="1" applyBorder="1" applyAlignment="1" applyProtection="1">
      <alignment horizontal="right" vertical="center"/>
      <protection locked="0"/>
    </xf>
    <xf numFmtId="0" fontId="69" fillId="0" borderId="0" xfId="132" applyFont="1" applyAlignment="1">
      <alignment horizontal="left" vertical="center" wrapText="1"/>
    </xf>
    <xf numFmtId="0" fontId="3" fillId="9" borderId="3" xfId="0" applyFont="1" applyFill="1" applyBorder="1" applyAlignment="1" applyProtection="1">
      <alignment horizontal="left" vertical="center"/>
      <protection locked="0"/>
    </xf>
    <xf numFmtId="0" fontId="3" fillId="9" borderId="10" xfId="0" applyFont="1" applyFill="1" applyBorder="1" applyAlignment="1" applyProtection="1">
      <alignment horizontal="left" vertical="center"/>
      <protection locked="0"/>
    </xf>
    <xf numFmtId="0" fontId="3" fillId="9" borderId="4" xfId="0" applyFont="1" applyFill="1" applyBorder="1" applyAlignment="1" applyProtection="1">
      <alignment horizontal="left" vertical="center"/>
      <protection locked="0"/>
    </xf>
    <xf numFmtId="0" fontId="54" fillId="46" borderId="10" xfId="0" applyFont="1" applyFill="1" applyBorder="1" applyAlignment="1">
      <alignment horizontal="center" vertical="center" wrapText="1"/>
    </xf>
    <xf numFmtId="0" fontId="54" fillId="46" borderId="4" xfId="0" applyFont="1" applyFill="1" applyBorder="1" applyAlignment="1">
      <alignment horizontal="center" vertical="center" wrapText="1"/>
    </xf>
    <xf numFmtId="0" fontId="3" fillId="49" borderId="0" xfId="161" applyFill="1" applyAlignment="1">
      <alignment vertical="center" wrapText="1"/>
    </xf>
    <xf numFmtId="0" fontId="3" fillId="49" borderId="0" xfId="0" applyFont="1" applyFill="1" applyAlignment="1">
      <alignment vertical="center" wrapText="1"/>
    </xf>
    <xf numFmtId="0" fontId="3" fillId="9" borderId="74" xfId="0" applyFont="1" applyFill="1" applyBorder="1" applyAlignment="1" applyProtection="1">
      <alignment horizontal="left" vertical="center"/>
      <protection locked="0"/>
    </xf>
    <xf numFmtId="0" fontId="3" fillId="9" borderId="36" xfId="0" applyFont="1" applyFill="1" applyBorder="1" applyAlignment="1" applyProtection="1">
      <alignment horizontal="left" vertical="center"/>
      <protection locked="0"/>
    </xf>
    <xf numFmtId="0" fontId="3" fillId="9" borderId="35" xfId="0" applyFont="1" applyFill="1" applyBorder="1" applyAlignment="1" applyProtection="1">
      <alignment horizontal="left" vertical="center"/>
      <protection locked="0"/>
    </xf>
    <xf numFmtId="0" fontId="21" fillId="0" borderId="0" xfId="0" applyFont="1" applyAlignment="1">
      <alignment wrapText="1"/>
    </xf>
    <xf numFmtId="0" fontId="80" fillId="0" borderId="0" xfId="0" applyFont="1" applyAlignment="1">
      <alignment vertical="center" wrapText="1"/>
    </xf>
    <xf numFmtId="0" fontId="80" fillId="0" borderId="0" xfId="0" applyFont="1"/>
    <xf numFmtId="0" fontId="77" fillId="0" borderId="0" xfId="0" applyFont="1" applyAlignment="1">
      <alignment wrapText="1"/>
    </xf>
    <xf numFmtId="4" fontId="77" fillId="12" borderId="9" xfId="164" quotePrefix="1" applyNumberFormat="1" applyFont="1" applyFill="1" applyBorder="1" applyAlignment="1">
      <alignment horizontal="center" vertical="center" wrapText="1"/>
    </xf>
    <xf numFmtId="4" fontId="77" fillId="12" borderId="0" xfId="164" quotePrefix="1" applyNumberFormat="1" applyFont="1" applyFill="1" applyAlignment="1">
      <alignment horizontal="center" vertical="center" wrapText="1"/>
    </xf>
    <xf numFmtId="0" fontId="77" fillId="0" borderId="12" xfId="164" applyFont="1" applyBorder="1" applyAlignment="1">
      <alignment wrapText="1"/>
    </xf>
    <xf numFmtId="0" fontId="77" fillId="0" borderId="11" xfId="164" applyFont="1" applyBorder="1"/>
    <xf numFmtId="0" fontId="77" fillId="0" borderId="1" xfId="164" applyFont="1" applyBorder="1" applyAlignment="1">
      <alignment horizontal="center"/>
    </xf>
    <xf numFmtId="0" fontId="77" fillId="0" borderId="39" xfId="164" applyFont="1" applyBorder="1" applyAlignment="1">
      <alignment horizontal="center"/>
    </xf>
    <xf numFmtId="0" fontId="77" fillId="0" borderId="12" xfId="164" applyFont="1" applyBorder="1" applyAlignment="1">
      <alignment horizontal="center"/>
    </xf>
  </cellXfs>
  <cellStyles count="166">
    <cellStyle name="_Column1" xfId="5" xr:uid="{00000000-0005-0000-0000-000000000000}"/>
    <cellStyle name="_Column1_120319_BAB_KoPr2012_KEMA" xfId="6" xr:uid="{00000000-0005-0000-0000-000001000000}"/>
    <cellStyle name="_Column1_120329_EHB_KoPr_Basisjahr_ENTWURF" xfId="7" xr:uid="{00000000-0005-0000-0000-000002000000}"/>
    <cellStyle name="_Column1_120329_EHB_KoPr_Basisjahr_ENTWURF 2" xfId="8" xr:uid="{00000000-0005-0000-0000-000003000000}"/>
    <cellStyle name="_Column1_A. Allgemeine Informationen" xfId="9" xr:uid="{00000000-0005-0000-0000-000004000000}"/>
    <cellStyle name="_Column1_Ausfüllhilfe" xfId="10" xr:uid="{00000000-0005-0000-0000-000005000000}"/>
    <cellStyle name="_Column1_kalk. EK-Verzinsung" xfId="11" xr:uid="{00000000-0005-0000-0000-000006000000}"/>
    <cellStyle name="_Column1_kalk. EK-Verzinsung 2" xfId="12" xr:uid="{00000000-0005-0000-0000-000007000000}"/>
    <cellStyle name="_Column1_Mehrjahresvergleich" xfId="13" xr:uid="{00000000-0005-0000-0000-000008000000}"/>
    <cellStyle name="_Column1_Mehrjahresvergleich 2" xfId="14" xr:uid="{00000000-0005-0000-0000-000009000000}"/>
    <cellStyle name="_Column1_SAV-Vergleich" xfId="15" xr:uid="{00000000-0005-0000-0000-00000A000000}"/>
    <cellStyle name="_Column1_SAV-Vergleich 2" xfId="16" xr:uid="{00000000-0005-0000-0000-00000B000000}"/>
    <cellStyle name="_Column2" xfId="17" xr:uid="{00000000-0005-0000-0000-00000C000000}"/>
    <cellStyle name="_Column3" xfId="18" xr:uid="{00000000-0005-0000-0000-00000D000000}"/>
    <cellStyle name="_Column4" xfId="19" xr:uid="{00000000-0005-0000-0000-00000E000000}"/>
    <cellStyle name="_Column4_120319_BAB_KoPr2012_KEMA" xfId="20" xr:uid="{00000000-0005-0000-0000-00000F000000}"/>
    <cellStyle name="_Column4_120329_EHB_KoPr_Basisjahr_ENTWURF" xfId="21" xr:uid="{00000000-0005-0000-0000-000010000000}"/>
    <cellStyle name="_Column4_120329_EHB_KoPr_Basisjahr_ENTWURF 2" xfId="22" xr:uid="{00000000-0005-0000-0000-000011000000}"/>
    <cellStyle name="_Column4_A. Allgemeine Informationen" xfId="23" xr:uid="{00000000-0005-0000-0000-000012000000}"/>
    <cellStyle name="_Column4_Ausfüllhilfe" xfId="24" xr:uid="{00000000-0005-0000-0000-000013000000}"/>
    <cellStyle name="_Column4_kalk. EK-Verzinsung" xfId="25" xr:uid="{00000000-0005-0000-0000-000014000000}"/>
    <cellStyle name="_Column4_kalk. EK-Verzinsung 2" xfId="26" xr:uid="{00000000-0005-0000-0000-000015000000}"/>
    <cellStyle name="_Column4_Mehrjahresvergleich" xfId="27" xr:uid="{00000000-0005-0000-0000-000016000000}"/>
    <cellStyle name="_Column4_Mehrjahresvergleich 2" xfId="28" xr:uid="{00000000-0005-0000-0000-000017000000}"/>
    <cellStyle name="_Column4_SAV-Vergleich" xfId="29" xr:uid="{00000000-0005-0000-0000-000018000000}"/>
    <cellStyle name="_Column4_SAV-Vergleich 2" xfId="30" xr:uid="{00000000-0005-0000-0000-000019000000}"/>
    <cellStyle name="_Column5" xfId="31" xr:uid="{00000000-0005-0000-0000-00001A000000}"/>
    <cellStyle name="_Column6" xfId="32" xr:uid="{00000000-0005-0000-0000-00001B000000}"/>
    <cellStyle name="_Column7" xfId="33" xr:uid="{00000000-0005-0000-0000-00001C000000}"/>
    <cellStyle name="_Data" xfId="34" xr:uid="{00000000-0005-0000-0000-00001D000000}"/>
    <cellStyle name="_Data_120319_BAB_KoPr2012_KEMA" xfId="35" xr:uid="{00000000-0005-0000-0000-00001E000000}"/>
    <cellStyle name="_Data_120319_BAB_KoPr2012_KEMA_120616_Prüfwerkzeug_2_EOG" xfId="36" xr:uid="{00000000-0005-0000-0000-00001F000000}"/>
    <cellStyle name="_Data_120319_BAB_KoPr2012_KEMA_130911_Zusatzdaten" xfId="37" xr:uid="{00000000-0005-0000-0000-000020000000}"/>
    <cellStyle name="_Data_120319_BAB_KoPr2012_KEMA_VNBErhebungsbogenKostenprfg2012_2xls" xfId="38" xr:uid="{00000000-0005-0000-0000-000021000000}"/>
    <cellStyle name="_Header" xfId="39" xr:uid="{00000000-0005-0000-0000-000022000000}"/>
    <cellStyle name="_Row1" xfId="40" xr:uid="{00000000-0005-0000-0000-000023000000}"/>
    <cellStyle name="_Row1_120319_BAB_KoPr2012_KEMA" xfId="41" xr:uid="{00000000-0005-0000-0000-000024000000}"/>
    <cellStyle name="_Row1_120329_EHB_KoPr_Basisjahr_ENTWURF" xfId="42" xr:uid="{00000000-0005-0000-0000-000025000000}"/>
    <cellStyle name="_Row1_120329_EHB_KoPr_Basisjahr_ENTWURF 2" xfId="43" xr:uid="{00000000-0005-0000-0000-000026000000}"/>
    <cellStyle name="_Row1_A. Allgemeine Informationen" xfId="44" xr:uid="{00000000-0005-0000-0000-000027000000}"/>
    <cellStyle name="_Row1_Ausfüllhilfe" xfId="45" xr:uid="{00000000-0005-0000-0000-000028000000}"/>
    <cellStyle name="_Row1_kalk. EK-Verzinsung" xfId="46" xr:uid="{00000000-0005-0000-0000-000029000000}"/>
    <cellStyle name="_Row1_kalk. EK-Verzinsung 2" xfId="47" xr:uid="{00000000-0005-0000-0000-00002A000000}"/>
    <cellStyle name="_Row1_Mehrjahresvergleich" xfId="48" xr:uid="{00000000-0005-0000-0000-00002B000000}"/>
    <cellStyle name="_Row1_Mehrjahresvergleich 2" xfId="49" xr:uid="{00000000-0005-0000-0000-00002C000000}"/>
    <cellStyle name="_Row1_SAV-Vergleich" xfId="50" xr:uid="{00000000-0005-0000-0000-00002D000000}"/>
    <cellStyle name="_Row1_SAV-Vergleich 2" xfId="51" xr:uid="{00000000-0005-0000-0000-00002E000000}"/>
    <cellStyle name="_Row2" xfId="52" xr:uid="{00000000-0005-0000-0000-00002F000000}"/>
    <cellStyle name="_Row3" xfId="53" xr:uid="{00000000-0005-0000-0000-000030000000}"/>
    <cellStyle name="_Row4" xfId="54" xr:uid="{00000000-0005-0000-0000-000031000000}"/>
    <cellStyle name="_Row5" xfId="55" xr:uid="{00000000-0005-0000-0000-000032000000}"/>
    <cellStyle name="_Row6" xfId="56" xr:uid="{00000000-0005-0000-0000-000033000000}"/>
    <cellStyle name="_Row7" xfId="57" xr:uid="{00000000-0005-0000-0000-000034000000}"/>
    <cellStyle name="20 % - Akzent1 2" xfId="58" xr:uid="{00000000-0005-0000-0000-000035000000}"/>
    <cellStyle name="20 % - Akzent2 2" xfId="59" xr:uid="{00000000-0005-0000-0000-000036000000}"/>
    <cellStyle name="20 % - Akzent3 2" xfId="60" xr:uid="{00000000-0005-0000-0000-000037000000}"/>
    <cellStyle name="20 % - Akzent4 2" xfId="61" xr:uid="{00000000-0005-0000-0000-000038000000}"/>
    <cellStyle name="20 % - Akzent5 2" xfId="62" xr:uid="{00000000-0005-0000-0000-000039000000}"/>
    <cellStyle name="20 % - Akzent6 2" xfId="63" xr:uid="{00000000-0005-0000-0000-00003A000000}"/>
    <cellStyle name="20% - Akzent1" xfId="64" xr:uid="{00000000-0005-0000-0000-00003B000000}"/>
    <cellStyle name="20% - Akzent2" xfId="65" xr:uid="{00000000-0005-0000-0000-00003C000000}"/>
    <cellStyle name="20% - Akzent3" xfId="66" xr:uid="{00000000-0005-0000-0000-00003D000000}"/>
    <cellStyle name="20% - Akzent4" xfId="67" xr:uid="{00000000-0005-0000-0000-00003E000000}"/>
    <cellStyle name="20% - Akzent5" xfId="68" xr:uid="{00000000-0005-0000-0000-00003F000000}"/>
    <cellStyle name="20% - Akzent6" xfId="69" xr:uid="{00000000-0005-0000-0000-000040000000}"/>
    <cellStyle name="40 % - Akzent1 2" xfId="70" xr:uid="{00000000-0005-0000-0000-000041000000}"/>
    <cellStyle name="40 % - Akzent2 2" xfId="71" xr:uid="{00000000-0005-0000-0000-000042000000}"/>
    <cellStyle name="40 % - Akzent3 2" xfId="72" xr:uid="{00000000-0005-0000-0000-000043000000}"/>
    <cellStyle name="40 % - Akzent4 2" xfId="73" xr:uid="{00000000-0005-0000-0000-000044000000}"/>
    <cellStyle name="40 % - Akzent5 2" xfId="74" xr:uid="{00000000-0005-0000-0000-000045000000}"/>
    <cellStyle name="40 % - Akzent6 2" xfId="75" xr:uid="{00000000-0005-0000-0000-000046000000}"/>
    <cellStyle name="40% - Akzent1" xfId="76" xr:uid="{00000000-0005-0000-0000-000047000000}"/>
    <cellStyle name="40% - Akzent2" xfId="77" xr:uid="{00000000-0005-0000-0000-000048000000}"/>
    <cellStyle name="40% - Akzent3" xfId="78" xr:uid="{00000000-0005-0000-0000-000049000000}"/>
    <cellStyle name="40% - Akzent4" xfId="79" xr:uid="{00000000-0005-0000-0000-00004A000000}"/>
    <cellStyle name="40% - Akzent5" xfId="80" xr:uid="{00000000-0005-0000-0000-00004B000000}"/>
    <cellStyle name="40% - Akzent6" xfId="81" xr:uid="{00000000-0005-0000-0000-00004C000000}"/>
    <cellStyle name="60 % - Akzent1 2" xfId="82" xr:uid="{00000000-0005-0000-0000-00004D000000}"/>
    <cellStyle name="60 % - Akzent2 2" xfId="83" xr:uid="{00000000-0005-0000-0000-00004E000000}"/>
    <cellStyle name="60 % - Akzent3 2" xfId="84" xr:uid="{00000000-0005-0000-0000-00004F000000}"/>
    <cellStyle name="60 % - Akzent4 2" xfId="85" xr:uid="{00000000-0005-0000-0000-000050000000}"/>
    <cellStyle name="60 % - Akzent5 2" xfId="86" xr:uid="{00000000-0005-0000-0000-000051000000}"/>
    <cellStyle name="60 % - Akzent6 2" xfId="87" xr:uid="{00000000-0005-0000-0000-000052000000}"/>
    <cellStyle name="60% - Akzent1" xfId="88" xr:uid="{00000000-0005-0000-0000-000053000000}"/>
    <cellStyle name="60% - Akzent2" xfId="89" xr:uid="{00000000-0005-0000-0000-000054000000}"/>
    <cellStyle name="60% - Akzent3" xfId="90" xr:uid="{00000000-0005-0000-0000-000055000000}"/>
    <cellStyle name="60% - Akzent4" xfId="91" xr:uid="{00000000-0005-0000-0000-000056000000}"/>
    <cellStyle name="60% - Akzent5" xfId="92" xr:uid="{00000000-0005-0000-0000-000057000000}"/>
    <cellStyle name="60% - Akzent6" xfId="93" xr:uid="{00000000-0005-0000-0000-000058000000}"/>
    <cellStyle name="Akzent1 2" xfId="94" xr:uid="{00000000-0005-0000-0000-000059000000}"/>
    <cellStyle name="Akzent1 3" xfId="95" xr:uid="{00000000-0005-0000-0000-00005A000000}"/>
    <cellStyle name="Akzent2 2" xfId="96" xr:uid="{00000000-0005-0000-0000-00005B000000}"/>
    <cellStyle name="Akzent2 3" xfId="97" xr:uid="{00000000-0005-0000-0000-00005C000000}"/>
    <cellStyle name="Akzent3 2" xfId="98" xr:uid="{00000000-0005-0000-0000-00005D000000}"/>
    <cellStyle name="Akzent3 3" xfId="99" xr:uid="{00000000-0005-0000-0000-00005E000000}"/>
    <cellStyle name="Akzent4 2" xfId="100" xr:uid="{00000000-0005-0000-0000-00005F000000}"/>
    <cellStyle name="Akzent4 3" xfId="101" xr:uid="{00000000-0005-0000-0000-000060000000}"/>
    <cellStyle name="Akzent5 2" xfId="102" xr:uid="{00000000-0005-0000-0000-000061000000}"/>
    <cellStyle name="Akzent5 3" xfId="103" xr:uid="{00000000-0005-0000-0000-000062000000}"/>
    <cellStyle name="Akzent6 2" xfId="104" xr:uid="{00000000-0005-0000-0000-000063000000}"/>
    <cellStyle name="Akzent6 3" xfId="105" xr:uid="{00000000-0005-0000-0000-000064000000}"/>
    <cellStyle name="Ausgabe 2" xfId="106" xr:uid="{00000000-0005-0000-0000-000065000000}"/>
    <cellStyle name="Ausgabe 3" xfId="107" xr:uid="{00000000-0005-0000-0000-000066000000}"/>
    <cellStyle name="Berechnung 2" xfId="108" xr:uid="{00000000-0005-0000-0000-000067000000}"/>
    <cellStyle name="Berechnung 3" xfId="109" xr:uid="{00000000-0005-0000-0000-000068000000}"/>
    <cellStyle name="Eingabe 2" xfId="110" xr:uid="{00000000-0005-0000-0000-000069000000}"/>
    <cellStyle name="Eingabe 3" xfId="111" xr:uid="{00000000-0005-0000-0000-00006A000000}"/>
    <cellStyle name="Ergebnis 2" xfId="112" xr:uid="{00000000-0005-0000-0000-00006B000000}"/>
    <cellStyle name="Ergebnis 3" xfId="113" xr:uid="{00000000-0005-0000-0000-00006C000000}"/>
    <cellStyle name="Erklärender Text 2" xfId="114" xr:uid="{00000000-0005-0000-0000-00006D000000}"/>
    <cellStyle name="Erklärender Text 3" xfId="115" xr:uid="{00000000-0005-0000-0000-00006E000000}"/>
    <cellStyle name="Euro" xfId="116" xr:uid="{00000000-0005-0000-0000-00006F000000}"/>
    <cellStyle name="Euro 2" xfId="117" xr:uid="{00000000-0005-0000-0000-000070000000}"/>
    <cellStyle name="Euro 3" xfId="118" xr:uid="{00000000-0005-0000-0000-000071000000}"/>
    <cellStyle name="Gut 2" xfId="119" xr:uid="{00000000-0005-0000-0000-000072000000}"/>
    <cellStyle name="Gut 3" xfId="120" xr:uid="{00000000-0005-0000-0000-000073000000}"/>
    <cellStyle name="Hyperlink 2" xfId="121" xr:uid="{00000000-0005-0000-0000-000074000000}"/>
    <cellStyle name="Hyperlink 3" xfId="122" xr:uid="{00000000-0005-0000-0000-000075000000}"/>
    <cellStyle name="Neutral 2" xfId="123" xr:uid="{00000000-0005-0000-0000-000076000000}"/>
    <cellStyle name="Neutral 3" xfId="124" xr:uid="{00000000-0005-0000-0000-000077000000}"/>
    <cellStyle name="Normal_erfassungsmatrix 04" xfId="125" xr:uid="{00000000-0005-0000-0000-000078000000}"/>
    <cellStyle name="Notiz 2" xfId="126" xr:uid="{00000000-0005-0000-0000-000079000000}"/>
    <cellStyle name="Notiz 3" xfId="127" xr:uid="{00000000-0005-0000-0000-00007A000000}"/>
    <cellStyle name="Prozent" xfId="1" builtinId="5"/>
    <cellStyle name="Prozent 2" xfId="4" xr:uid="{00000000-0005-0000-0000-00007C000000}"/>
    <cellStyle name="Prozent 3" xfId="128" xr:uid="{00000000-0005-0000-0000-00007D000000}"/>
    <cellStyle name="Prozent 4" xfId="129" xr:uid="{00000000-0005-0000-0000-00007E000000}"/>
    <cellStyle name="Schlecht 2" xfId="130" xr:uid="{00000000-0005-0000-0000-00007F000000}"/>
    <cellStyle name="Schlecht 3" xfId="131" xr:uid="{00000000-0005-0000-0000-000080000000}"/>
    <cellStyle name="Standard" xfId="0" builtinId="0"/>
    <cellStyle name="Standard 10" xfId="164" xr:uid="{00000000-0005-0000-0000-000082000000}"/>
    <cellStyle name="Standard 2" xfId="2" xr:uid="{00000000-0005-0000-0000-000083000000}"/>
    <cellStyle name="Standard 2 2" xfId="132" xr:uid="{00000000-0005-0000-0000-000084000000}"/>
    <cellStyle name="Standard 2 3" xfId="133" xr:uid="{00000000-0005-0000-0000-000085000000}"/>
    <cellStyle name="Standard 2_EHB_KoPr_I" xfId="134" xr:uid="{00000000-0005-0000-0000-000086000000}"/>
    <cellStyle name="Standard 3" xfId="3" xr:uid="{00000000-0005-0000-0000-000087000000}"/>
    <cellStyle name="Standard 4" xfId="135" xr:uid="{00000000-0005-0000-0000-000088000000}"/>
    <cellStyle name="Standard 5" xfId="136" xr:uid="{00000000-0005-0000-0000-000089000000}"/>
    <cellStyle name="Standard 6" xfId="137" xr:uid="{00000000-0005-0000-0000-00008A000000}"/>
    <cellStyle name="Standard 7" xfId="138" xr:uid="{00000000-0005-0000-0000-00008B000000}"/>
    <cellStyle name="Standard 8" xfId="139" xr:uid="{00000000-0005-0000-0000-00008C000000}"/>
    <cellStyle name="Standard 9" xfId="162" xr:uid="{00000000-0005-0000-0000-00008D000000}"/>
    <cellStyle name="Standard 9 2" xfId="165" xr:uid="{00000000-0005-0000-0000-00008E000000}"/>
    <cellStyle name="Standard_14572" xfId="161" xr:uid="{00000000-0005-0000-0000-00008F000000}"/>
    <cellStyle name="Standard_14572 3" xfId="163" xr:uid="{00000000-0005-0000-0000-000090000000}"/>
    <cellStyle name="Überschrift 1 2" xfId="140" xr:uid="{00000000-0005-0000-0000-000091000000}"/>
    <cellStyle name="Überschrift 1 3" xfId="141" xr:uid="{00000000-0005-0000-0000-000092000000}"/>
    <cellStyle name="Überschrift 2 2" xfId="142" xr:uid="{00000000-0005-0000-0000-000093000000}"/>
    <cellStyle name="Überschrift 2 3" xfId="143" xr:uid="{00000000-0005-0000-0000-000094000000}"/>
    <cellStyle name="Überschrift 3 2" xfId="144" xr:uid="{00000000-0005-0000-0000-000095000000}"/>
    <cellStyle name="Überschrift 3 3" xfId="145" xr:uid="{00000000-0005-0000-0000-000096000000}"/>
    <cellStyle name="Überschrift 4 2" xfId="146" xr:uid="{00000000-0005-0000-0000-000097000000}"/>
    <cellStyle name="Überschrift 4 3" xfId="147" xr:uid="{00000000-0005-0000-0000-000098000000}"/>
    <cellStyle name="Überschrift 5" xfId="148" xr:uid="{00000000-0005-0000-0000-000099000000}"/>
    <cellStyle name="Überschrift 6" xfId="149" xr:uid="{00000000-0005-0000-0000-00009A000000}"/>
    <cellStyle name="Undefiniert" xfId="150" xr:uid="{00000000-0005-0000-0000-00009B000000}"/>
    <cellStyle name="Verknüpfte Zelle 2" xfId="151" xr:uid="{00000000-0005-0000-0000-00009C000000}"/>
    <cellStyle name="Verknüpfte Zelle 3" xfId="152" xr:uid="{00000000-0005-0000-0000-00009D000000}"/>
    <cellStyle name="Währung 2" xfId="153" xr:uid="{00000000-0005-0000-0000-00009E000000}"/>
    <cellStyle name="Währung 3" xfId="154" xr:uid="{00000000-0005-0000-0000-00009F000000}"/>
    <cellStyle name="Währung 4" xfId="155" xr:uid="{00000000-0005-0000-0000-0000A0000000}"/>
    <cellStyle name="Währung 5" xfId="156" xr:uid="{00000000-0005-0000-0000-0000A1000000}"/>
    <cellStyle name="Warnender Text 2" xfId="157" xr:uid="{00000000-0005-0000-0000-0000A2000000}"/>
    <cellStyle name="Warnender Text 3" xfId="158" xr:uid="{00000000-0005-0000-0000-0000A3000000}"/>
    <cellStyle name="Zelle überprüfen 2" xfId="159" xr:uid="{00000000-0005-0000-0000-0000A4000000}"/>
    <cellStyle name="Zelle überprüfen 3" xfId="160" xr:uid="{00000000-0005-0000-0000-0000A5000000}"/>
  </cellStyles>
  <dxfs count="602">
    <dxf>
      <fill>
        <patternFill>
          <bgColor rgb="FFFF0000"/>
        </patternFill>
      </fill>
    </dxf>
    <dxf>
      <font>
        <color rgb="FF9C0006"/>
      </font>
      <fill>
        <patternFill>
          <bgColor rgb="FFFFC7CE"/>
        </patternFill>
      </fill>
    </dxf>
    <dxf>
      <fill>
        <patternFill>
          <bgColor rgb="FFFF0000"/>
        </patternFill>
      </fill>
    </dxf>
    <dxf>
      <font>
        <b val="0"/>
        <i val="0"/>
        <strike val="0"/>
        <condense val="0"/>
        <extend val="0"/>
        <outline val="0"/>
        <shadow val="0"/>
        <u val="none"/>
        <vertAlign val="baseline"/>
        <sz val="11"/>
        <color auto="1"/>
        <name val="Times New Roman"/>
        <scheme val="none"/>
      </font>
      <numFmt numFmtId="4" formatCode="#,##0.00"/>
      <fill>
        <patternFill patternType="solid">
          <fgColor indexed="64"/>
          <bgColor theme="0" tint="-0.14996795556505021"/>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indexed="8"/>
        </patternFill>
      </fill>
      <alignment horizontal="general" vertical="center"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theme="0" tint="-0.14999847407452621"/>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theme="0" tint="-0.14996795556505021"/>
        </patternFill>
      </fill>
      <alignment horizontal="general" vertical="center" textRotation="0" wrapText="0" indent="0" justifyLastLine="0" shrinkToFit="0" readingOrder="0"/>
      <border diagonalUp="0" diagonalDown="0" outline="0">
        <left/>
        <right style="medium">
          <color indexed="64"/>
        </right>
        <top/>
        <bottom/>
      </border>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indexed="8"/>
        </patternFill>
      </fill>
      <alignment horizontal="general" vertical="center"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theme="0" tint="-0.14999847407452621"/>
        </patternFill>
      </fill>
      <alignment horizontal="general" vertical="center" textRotation="0" wrapText="0" indent="0" justifyLastLine="0" shrinkToFit="0" readingOrder="0"/>
      <protection locked="1" hidden="0"/>
    </dxf>
    <dxf>
      <font>
        <b/>
        <i val="0"/>
        <strike val="0"/>
        <condense val="0"/>
        <extend val="0"/>
        <outline val="0"/>
        <shadow val="0"/>
        <u val="none"/>
        <vertAlign val="baseline"/>
        <sz val="11"/>
        <color auto="1"/>
        <name val="Times New Roman"/>
        <scheme val="none"/>
      </font>
      <numFmt numFmtId="4" formatCode="#,##0.00"/>
      <fill>
        <patternFill patternType="solid">
          <fgColor indexed="64"/>
          <bgColor theme="1"/>
        </patternFill>
      </fill>
      <alignment horizontal="general" vertical="center" textRotation="0" wrapText="0" indent="0" justifyLastLine="0" shrinkToFit="0" readingOrder="0"/>
      <border diagonalUp="0" diagonalDown="0" outline="0">
        <left/>
        <right style="medium">
          <color indexed="64"/>
        </right>
        <top/>
        <bottom/>
      </border>
      <protection locked="1" hidden="0"/>
    </dxf>
    <dxf>
      <font>
        <b/>
        <i val="0"/>
        <strike val="0"/>
        <condense val="0"/>
        <extend val="0"/>
        <outline val="0"/>
        <shadow val="0"/>
        <u val="none"/>
        <vertAlign val="baseline"/>
        <sz val="11"/>
        <color auto="1"/>
        <name val="Times New Roman"/>
        <scheme val="none"/>
      </font>
      <numFmt numFmtId="4" formatCode="#,##0.00"/>
      <fill>
        <patternFill patternType="solid">
          <fgColor indexed="64"/>
          <bgColor theme="0" tint="-0.14999847407452621"/>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rgb="FFFFFF00"/>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theme="1"/>
        </patternFill>
      </fill>
      <alignment horizontal="general" vertical="center"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auto="1"/>
        <name val="Times New Roman"/>
        <scheme val="none"/>
      </font>
      <numFmt numFmtId="168" formatCode="#,##0.000"/>
      <fill>
        <patternFill patternType="none">
          <fgColor indexed="64"/>
          <bgColor indexed="65"/>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1"/>
        <color auto="1"/>
        <name val="Times New Roman"/>
        <scheme val="none"/>
      </font>
      <numFmt numFmtId="168" formatCode="#,##0.000"/>
      <fill>
        <patternFill patternType="none">
          <fgColor indexed="64"/>
          <bgColor indexed="65"/>
        </patternFill>
      </fill>
      <alignment horizontal="general" vertical="center"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auto="1"/>
        <name val="Times New Roman"/>
        <scheme val="none"/>
      </font>
      <numFmt numFmtId="168" formatCode="#,##0.000"/>
      <fill>
        <patternFill patternType="none">
          <fgColor indexed="64"/>
          <bgColor indexed="65"/>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theme="1"/>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theme="0" tint="-0.14999847407452621"/>
        </patternFill>
      </fill>
      <alignment horizontal="general" vertical="center" textRotation="0" wrapText="0" indent="0" justifyLastLine="0" shrinkToFit="0" readingOrder="0"/>
      <border diagonalUp="0" diagonalDown="0">
        <left/>
        <right style="thin">
          <color indexed="64"/>
        </right>
        <top/>
        <bottom/>
      </border>
      <protection locked="1" hidden="0"/>
    </dxf>
    <dxf>
      <font>
        <b val="0"/>
        <i val="0"/>
        <strike val="0"/>
        <condense val="0"/>
        <extend val="0"/>
        <outline val="0"/>
        <shadow val="0"/>
        <u val="none"/>
        <vertAlign val="baseline"/>
        <sz val="11"/>
        <color auto="1"/>
        <name val="Times New Roman"/>
        <scheme val="none"/>
      </font>
      <numFmt numFmtId="3" formatCode="#,##0"/>
      <fill>
        <patternFill patternType="none">
          <fgColor indexed="64"/>
          <bgColor indexed="65"/>
        </patternFill>
      </fill>
      <alignment horizontal="general" vertical="center" textRotation="0" wrapText="0" indent="0" justifyLastLine="0" shrinkToFit="0" readingOrder="0"/>
      <border diagonalUp="0" diagonalDown="0" outline="0">
        <left style="medium">
          <color indexed="64"/>
        </left>
        <right/>
        <top/>
        <bottom/>
      </border>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indexed="8"/>
        </patternFill>
      </fill>
      <alignment horizontal="general" vertical="center" textRotation="0" wrapText="0" indent="0" justifyLastLine="0" shrinkToFit="0" readingOrder="0"/>
      <border diagonalUp="0" diagonalDown="0" outline="0">
        <left/>
        <right style="medium">
          <color indexed="64"/>
        </right>
        <top/>
        <bottom/>
      </border>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theme="0" tint="-0.14999847407452621"/>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1"/>
        <color auto="1"/>
        <name val="Times New Roman"/>
        <scheme val="none"/>
      </font>
      <numFmt numFmtId="4" formatCode="#,##0.00"/>
      <alignment horizontal="center" vertical="bottom" textRotation="0" wrapText="0" indent="0" justifyLastLine="0" shrinkToFit="0" readingOrder="0"/>
      <protection locked="1" hidden="0"/>
    </dxf>
    <dxf>
      <font>
        <b val="0"/>
        <i val="0"/>
        <strike val="0"/>
        <condense val="0"/>
        <extend val="0"/>
        <outline val="0"/>
        <shadow val="0"/>
        <u val="none"/>
        <vertAlign val="baseline"/>
        <sz val="11"/>
        <color auto="1"/>
        <name val="Times New Roman"/>
        <scheme val="none"/>
      </font>
      <numFmt numFmtId="3" formatCode="#,##0"/>
      <fill>
        <patternFill patternType="solid">
          <fgColor indexed="64"/>
          <bgColor rgb="FFFFFF00"/>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rgb="FFFFFF99"/>
        </patternFill>
      </fill>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rgb="FFFFFF99"/>
        </patternFill>
      </fill>
      <protection locked="1" hidden="0"/>
    </dxf>
    <dxf>
      <font>
        <b/>
        <i val="0"/>
        <strike val="0"/>
        <condense val="0"/>
        <extend val="0"/>
        <outline val="0"/>
        <shadow val="0"/>
        <u val="none"/>
        <vertAlign val="baseline"/>
        <sz val="11"/>
        <color auto="1"/>
        <name val="Times New Roman"/>
        <scheme val="none"/>
      </font>
      <numFmt numFmtId="168" formatCode="#,##0.000"/>
      <border diagonalUp="0" diagonalDown="0" outline="0">
        <left/>
        <right style="thin">
          <color indexed="64"/>
        </right>
        <top/>
        <bottom/>
      </border>
      <protection locked="1" hidden="0"/>
    </dxf>
    <dxf>
      <font>
        <b val="0"/>
        <i val="0"/>
        <strike val="0"/>
        <condense val="0"/>
        <extend val="0"/>
        <outline val="0"/>
        <shadow val="0"/>
        <u val="none"/>
        <vertAlign val="baseline"/>
        <sz val="11"/>
        <color auto="1"/>
        <name val="Times New Roman"/>
        <scheme val="none"/>
      </font>
      <numFmt numFmtId="168" formatCode="#,##0.000"/>
      <protection locked="1" hidden="0"/>
    </dxf>
    <dxf>
      <font>
        <b val="0"/>
        <i val="0"/>
        <strike val="0"/>
        <condense val="0"/>
        <extend val="0"/>
        <outline val="0"/>
        <shadow val="0"/>
        <u val="none"/>
        <vertAlign val="baseline"/>
        <sz val="11"/>
        <color auto="1"/>
        <name val="Times New Roman"/>
        <scheme val="none"/>
      </font>
      <numFmt numFmtId="168" formatCode="#,##0.000"/>
      <fill>
        <patternFill patternType="solid">
          <fgColor indexed="64"/>
          <bgColor theme="1"/>
        </patternFill>
      </fill>
      <protection locked="1" hidden="0"/>
    </dxf>
    <dxf>
      <font>
        <b val="0"/>
        <i val="0"/>
        <strike val="0"/>
        <condense val="0"/>
        <extend val="0"/>
        <outline val="0"/>
        <shadow val="0"/>
        <u val="none"/>
        <vertAlign val="baseline"/>
        <sz val="11"/>
        <color auto="1"/>
        <name val="Times New Roman"/>
        <scheme val="none"/>
      </font>
      <numFmt numFmtId="0" formatCode="General"/>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top/>
        <bottom/>
      </border>
      <protection locked="1" hidden="0"/>
    </dxf>
    <dxf>
      <font>
        <b/>
        <i val="0"/>
        <strike val="0"/>
        <condense val="0"/>
        <extend val="0"/>
        <outline val="0"/>
        <shadow val="0"/>
        <u val="none"/>
        <vertAlign val="baseline"/>
        <sz val="11"/>
        <color auto="1"/>
        <name val="Times New Roman"/>
        <scheme val="none"/>
      </font>
      <numFmt numFmtId="3" formatCode="#,##0"/>
      <fill>
        <patternFill patternType="none">
          <fgColor indexed="64"/>
          <bgColor indexed="65"/>
        </patternFill>
      </fill>
      <alignment horizontal="general" vertical="center"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auto="1"/>
        <name val="Times New Roman"/>
        <scheme val="none"/>
      </font>
      <numFmt numFmtId="3" formatCode="#,##0"/>
      <fill>
        <patternFill patternType="solid">
          <fgColor indexed="64"/>
          <bgColor indexed="13"/>
        </patternFill>
      </fill>
      <protection locked="1" hidden="0"/>
    </dxf>
    <dxf>
      <font>
        <strike val="0"/>
        <outline val="0"/>
        <shadow val="0"/>
        <u val="none"/>
        <vertAlign val="baseline"/>
        <sz val="11"/>
        <color theme="1"/>
        <name val="Times New Roman"/>
        <scheme val="none"/>
      </font>
      <fill>
        <patternFill patternType="solid">
          <fgColor indexed="64"/>
          <bgColor rgb="FFFFFF00"/>
        </patternFill>
      </fill>
      <alignment horizontal="right" vertical="bottom" textRotation="0" wrapText="0" indent="0" justifyLastLine="0" shrinkToFit="0" readingOrder="0"/>
      <protection locked="1" hidden="0"/>
    </dxf>
    <dxf>
      <font>
        <b val="0"/>
        <i val="0"/>
        <strike val="0"/>
        <condense val="0"/>
        <extend val="0"/>
        <outline val="0"/>
        <shadow val="0"/>
        <u val="none"/>
        <vertAlign val="baseline"/>
        <sz val="11"/>
        <color auto="1"/>
        <name val="Times New Roman"/>
        <scheme val="none"/>
      </font>
      <fill>
        <patternFill patternType="solid">
          <fgColor indexed="64"/>
          <bgColor indexed="13"/>
        </patternFill>
      </fill>
      <protection locked="0" hidden="0"/>
    </dxf>
    <dxf>
      <font>
        <b val="0"/>
        <i val="0"/>
        <strike val="0"/>
        <condense val="0"/>
        <extend val="0"/>
        <outline val="0"/>
        <shadow val="0"/>
        <u val="none"/>
        <vertAlign val="baseline"/>
        <sz val="11"/>
        <color auto="1"/>
        <name val="Times New Roman"/>
        <scheme val="none"/>
      </font>
      <numFmt numFmtId="0" formatCode="General"/>
      <fill>
        <patternFill patternType="solid">
          <fgColor indexed="64"/>
          <bgColor rgb="FFFFFF00"/>
        </patternFill>
      </fill>
      <alignment horizontal="center" vertical="bottom" textRotation="0" wrapText="0" indent="0" justifyLastLine="0" shrinkToFit="0" readingOrder="0"/>
      <protection locked="1" hidden="0"/>
    </dxf>
    <dxf>
      <border outline="0">
        <left style="medium">
          <color indexed="64"/>
        </left>
        <right style="medium">
          <color indexed="64"/>
        </right>
        <top style="medium">
          <color indexed="64"/>
        </top>
        <bottom style="medium">
          <color indexed="64"/>
        </bottom>
      </border>
    </dxf>
    <dxf>
      <protection locked="1" hidden="0"/>
    </dxf>
    <dxf>
      <border>
        <bottom style="medium">
          <color indexed="64"/>
        </bottom>
      </border>
    </dxf>
    <dxf>
      <font>
        <b val="0"/>
        <i val="0"/>
        <strike val="0"/>
        <condense val="0"/>
        <extend val="0"/>
        <outline val="0"/>
        <shadow val="0"/>
        <u val="none"/>
        <vertAlign val="baseline"/>
        <sz val="11"/>
        <color auto="1"/>
        <name val="Times New Roman"/>
        <scheme val="none"/>
      </font>
      <fill>
        <patternFill patternType="solid">
          <fgColor indexed="64"/>
          <bgColor theme="0" tint="-0.14999847407452621"/>
        </patternFill>
      </fill>
      <alignment horizontal="center" vertical="bottom"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theme="0" tint="-0.14999847407452621"/>
        </patternFill>
      </fill>
      <alignment horizontal="general" vertical="center" textRotation="0" wrapText="0" indent="0" justifyLastLine="0" shrinkToFit="0" readingOrder="0"/>
      <border diagonalUp="0" diagonalDown="0" outline="0">
        <left style="thin">
          <color indexed="64"/>
        </left>
        <right style="medium">
          <color indexed="64"/>
        </right>
        <top/>
        <bottom/>
      </border>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theme="0" tint="-0.14999847407452621"/>
        </patternFill>
      </fill>
      <alignment horizontal="general" vertical="center"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theme="0" tint="-0.14999847407452621"/>
        </patternFill>
      </fill>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theme="0" tint="-0.14999847407452621"/>
        </patternFill>
      </fill>
      <alignment horizontal="general" vertical="center" textRotation="0" wrapText="0" indent="0" justifyLastLine="0" shrinkToFit="0" readingOrder="0"/>
      <border diagonalUp="0" diagonalDown="0" outline="0">
        <left style="thin">
          <color indexed="64"/>
        </left>
        <right style="medium">
          <color indexed="64"/>
        </right>
        <top/>
        <bottom/>
      </border>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theme="0" tint="-0.14999847407452621"/>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theme="0" tint="-0.14999847407452621"/>
        </patternFill>
      </fill>
      <protection locked="1" hidden="0"/>
    </dxf>
    <dxf>
      <font>
        <b/>
        <i val="0"/>
        <strike val="0"/>
        <condense val="0"/>
        <extend val="0"/>
        <outline val="0"/>
        <shadow val="0"/>
        <u val="none"/>
        <vertAlign val="baseline"/>
        <sz val="11"/>
        <color auto="1"/>
        <name val="Times New Roman"/>
        <scheme val="none"/>
      </font>
      <numFmt numFmtId="4" formatCode="#,##0.00"/>
      <fill>
        <patternFill patternType="solid">
          <fgColor indexed="64"/>
          <bgColor theme="0" tint="-0.14999847407452621"/>
        </patternFill>
      </fill>
      <alignment horizontal="general" vertical="center" textRotation="0" wrapText="0" indent="0" justifyLastLine="0" shrinkToFit="0" readingOrder="0"/>
      <border diagonalUp="0" diagonalDown="0" outline="0">
        <left/>
        <right style="medium">
          <color indexed="64"/>
        </right>
        <top/>
        <bottom/>
      </border>
      <protection locked="1" hidden="0"/>
    </dxf>
    <dxf>
      <font>
        <b/>
        <i val="0"/>
        <strike val="0"/>
        <condense val="0"/>
        <extend val="0"/>
        <outline val="0"/>
        <shadow val="0"/>
        <u val="none"/>
        <vertAlign val="baseline"/>
        <sz val="11"/>
        <color auto="1"/>
        <name val="Times New Roman"/>
        <scheme val="none"/>
      </font>
      <numFmt numFmtId="4" formatCode="#,##0.00"/>
      <fill>
        <patternFill patternType="solid">
          <fgColor indexed="64"/>
          <bgColor theme="0" tint="-0.14999847407452621"/>
        </patternFill>
      </fill>
      <border outline="0">
        <left style="thin">
          <color indexed="64"/>
        </left>
        <right/>
      </border>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rgb="FFFFFF00"/>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theme="0" tint="-0.14999847407452621"/>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1"/>
        <color auto="1"/>
        <name val="Times New Roman"/>
        <scheme val="none"/>
      </font>
      <numFmt numFmtId="168" formatCode="#,##0.000"/>
      <alignment horizontal="general" vertical="center" textRotation="0" wrapText="0" indent="0" justifyLastLine="0" shrinkToFit="0" readingOrder="0"/>
      <protection locked="1" hidden="0"/>
    </dxf>
    <dxf>
      <font>
        <b val="0"/>
        <i val="0"/>
        <strike val="0"/>
        <condense val="0"/>
        <extend val="0"/>
        <outline val="0"/>
        <shadow val="0"/>
        <u val="none"/>
        <vertAlign val="baseline"/>
        <sz val="11"/>
        <color auto="1"/>
        <name val="Times New Roman"/>
        <scheme val="none"/>
      </font>
      <numFmt numFmtId="168" formatCode="#,##0.000"/>
      <alignment horizontal="general" vertical="center" textRotation="0" wrapText="0" indent="0" justifyLastLine="0" shrinkToFit="0" readingOrder="0"/>
      <border diagonalUp="0" diagonalDown="0">
        <left/>
        <right style="thin">
          <color indexed="64"/>
        </right>
        <top/>
        <bottom/>
      </border>
      <protection locked="1" hidden="0"/>
    </dxf>
    <dxf>
      <font>
        <b val="0"/>
        <i val="0"/>
        <strike val="0"/>
        <condense val="0"/>
        <extend val="0"/>
        <outline val="0"/>
        <shadow val="0"/>
        <u val="none"/>
        <vertAlign val="baseline"/>
        <sz val="11"/>
        <color auto="1"/>
        <name val="Times New Roman"/>
        <scheme val="none"/>
      </font>
      <numFmt numFmtId="168" formatCode="#,##0.000"/>
      <fill>
        <patternFill patternType="none">
          <fgColor indexed="64"/>
          <bgColor indexed="65"/>
        </patternFill>
      </fill>
      <protection locked="1" hidden="0"/>
    </dxf>
    <dxf>
      <font>
        <b val="0"/>
        <i val="0"/>
        <strike val="0"/>
        <condense val="0"/>
        <extend val="0"/>
        <outline val="0"/>
        <shadow val="0"/>
        <u val="none"/>
        <vertAlign val="baseline"/>
        <sz val="11"/>
        <color auto="1"/>
        <name val="Times New Roman"/>
        <scheme val="none"/>
      </font>
      <numFmt numFmtId="168" formatCode="#,##0.000"/>
      <fill>
        <patternFill patternType="solid">
          <fgColor indexed="64"/>
          <bgColor rgb="FFFFFF00"/>
        </patternFill>
      </fill>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theme="0" tint="-0.14999847407452621"/>
        </patternFill>
      </fill>
      <alignment horizontal="general" vertical="center"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auto="1"/>
        <name val="Times New Roman"/>
        <scheme val="none"/>
      </font>
      <numFmt numFmtId="3" formatCode="#,##0"/>
      <alignment horizontal="general" vertical="center" textRotation="0" wrapText="0" indent="0" justifyLastLine="0" shrinkToFit="0" readingOrder="0"/>
      <border diagonalUp="0" diagonalDown="0" outline="0">
        <left style="medium">
          <color indexed="64"/>
        </left>
        <right/>
        <top/>
        <bottom/>
      </border>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theme="0" tint="-0.14999847407452621"/>
        </patternFill>
      </fill>
      <alignment horizontal="general" vertical="center" textRotation="0" wrapText="0" indent="0" justifyLastLine="0" shrinkToFit="0" readingOrder="0"/>
      <border diagonalUp="0" diagonalDown="0" outline="0">
        <left/>
        <right style="medium">
          <color indexed="64"/>
        </right>
        <top/>
        <bottom/>
      </border>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theme="0" tint="-0.14999847407452621"/>
        </patternFill>
      </fill>
      <protection locked="1" hidden="0"/>
    </dxf>
    <dxf>
      <font>
        <b val="0"/>
        <i val="0"/>
        <strike val="0"/>
        <condense val="0"/>
        <extend val="0"/>
        <outline val="0"/>
        <shadow val="0"/>
        <u val="none"/>
        <vertAlign val="baseline"/>
        <sz val="11"/>
        <color auto="1"/>
        <name val="Times New Roman"/>
        <scheme val="none"/>
      </font>
      <numFmt numFmtId="4" formatCode="#,##0.00"/>
      <fill>
        <patternFill patternType="none">
          <fgColor indexed="64"/>
          <bgColor indexed="65"/>
        </patternFill>
      </fill>
      <alignment horizontal="center" vertical="bottom" textRotation="0" wrapText="0" indent="0" justifyLastLine="0" shrinkToFit="0" readingOrder="0"/>
      <protection locked="1" hidden="0"/>
    </dxf>
    <dxf>
      <font>
        <b val="0"/>
        <i val="0"/>
        <strike val="0"/>
        <condense val="0"/>
        <extend val="0"/>
        <outline val="0"/>
        <shadow val="0"/>
        <u val="none"/>
        <vertAlign val="baseline"/>
        <sz val="11"/>
        <color auto="1"/>
        <name val="Times New Roman"/>
        <scheme val="none"/>
      </font>
      <numFmt numFmtId="0" formatCode="General"/>
      <fill>
        <patternFill patternType="solid">
          <fgColor indexed="64"/>
          <bgColor rgb="FFFFFF00"/>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rgb="FFFFFF99"/>
        </patternFill>
      </fill>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rgb="FFFFFF99"/>
        </patternFill>
      </fill>
      <protection locked="1" hidden="0"/>
    </dxf>
    <dxf>
      <font>
        <b/>
        <i val="0"/>
        <strike val="0"/>
        <condense val="0"/>
        <extend val="0"/>
        <outline val="0"/>
        <shadow val="0"/>
        <u val="none"/>
        <vertAlign val="baseline"/>
        <sz val="11"/>
        <color auto="1"/>
        <name val="Times New Roman"/>
        <scheme val="none"/>
      </font>
      <numFmt numFmtId="168" formatCode="#,##0.000"/>
      <border diagonalUp="0" diagonalDown="0" outline="0">
        <left/>
        <right style="thin">
          <color indexed="64"/>
        </right>
        <top/>
        <bottom/>
      </border>
      <protection locked="1" hidden="0"/>
    </dxf>
    <dxf>
      <font>
        <b val="0"/>
        <i val="0"/>
        <strike val="0"/>
        <condense val="0"/>
        <extend val="0"/>
        <outline val="0"/>
        <shadow val="0"/>
        <u val="none"/>
        <vertAlign val="baseline"/>
        <sz val="11"/>
        <color auto="1"/>
        <name val="Times New Roman"/>
        <scheme val="none"/>
      </font>
      <numFmt numFmtId="168" formatCode="#,##0.000"/>
      <protection locked="1" hidden="0"/>
    </dxf>
    <dxf>
      <font>
        <b val="0"/>
        <i val="0"/>
        <strike val="0"/>
        <condense val="0"/>
        <extend val="0"/>
        <outline val="0"/>
        <shadow val="0"/>
        <u val="none"/>
        <vertAlign val="baseline"/>
        <sz val="11"/>
        <color auto="1"/>
        <name val="Times New Roman"/>
        <scheme val="none"/>
      </font>
      <numFmt numFmtId="168" formatCode="#,##0.000"/>
      <fill>
        <patternFill patternType="solid">
          <fgColor indexed="64"/>
          <bgColor rgb="FFFFFF00"/>
        </patternFill>
      </fill>
      <protection locked="0" hidden="0"/>
    </dxf>
    <dxf>
      <font>
        <b val="0"/>
        <i val="0"/>
        <strike val="0"/>
        <condense val="0"/>
        <extend val="0"/>
        <outline val="0"/>
        <shadow val="0"/>
        <u val="none"/>
        <vertAlign val="baseline"/>
        <sz val="11"/>
        <color auto="1"/>
        <name val="Times New Roman"/>
        <scheme val="none"/>
      </font>
      <fill>
        <patternFill patternType="solid">
          <fgColor indexed="64"/>
          <bgColor indexed="13"/>
        </patternFill>
      </fill>
      <alignment horizontal="center" vertical="center" textRotation="0" wrapText="0" indent="0" justifyLastLine="0" shrinkToFit="0" readingOrder="0"/>
      <protection locked="0" hidden="0"/>
    </dxf>
    <dxf>
      <font>
        <b/>
        <i val="0"/>
        <strike val="0"/>
        <condense val="0"/>
        <extend val="0"/>
        <outline val="0"/>
        <shadow val="0"/>
        <u val="none"/>
        <vertAlign val="baseline"/>
        <sz val="11"/>
        <color auto="1"/>
        <name val="Times New Roman"/>
        <scheme val="none"/>
      </font>
      <numFmt numFmtId="3" formatCode="#,##0"/>
      <fill>
        <patternFill patternType="none">
          <fgColor indexed="64"/>
          <bgColor indexed="65"/>
        </patternFill>
      </fill>
      <alignment horizontal="general" vertical="center"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auto="1"/>
        <name val="Times New Roman"/>
        <scheme val="none"/>
      </font>
      <numFmt numFmtId="3" formatCode="#,##0"/>
      <fill>
        <patternFill patternType="solid">
          <fgColor indexed="64"/>
          <bgColor indexed="13"/>
        </patternFill>
      </fill>
      <protection locked="1" hidden="0"/>
    </dxf>
    <dxf>
      <font>
        <b val="0"/>
        <i val="0"/>
        <strike val="0"/>
        <condense val="0"/>
        <extend val="0"/>
        <outline val="0"/>
        <shadow val="0"/>
        <u val="none"/>
        <vertAlign val="baseline"/>
        <sz val="11"/>
        <color auto="1"/>
        <name val="Times New Roman"/>
        <scheme val="none"/>
      </font>
      <fill>
        <patternFill patternType="solid">
          <fgColor indexed="64"/>
          <bgColor indexed="13"/>
        </patternFill>
      </fill>
      <protection locked="1" hidden="0"/>
    </dxf>
    <dxf>
      <font>
        <b val="0"/>
        <i val="0"/>
        <strike val="0"/>
        <condense val="0"/>
        <extend val="0"/>
        <outline val="0"/>
        <shadow val="0"/>
        <u val="none"/>
        <vertAlign val="baseline"/>
        <sz val="11"/>
        <color auto="1"/>
        <name val="Times New Roman"/>
        <scheme val="none"/>
      </font>
      <fill>
        <patternFill patternType="solid">
          <fgColor indexed="64"/>
          <bgColor indexed="13"/>
        </patternFill>
      </fill>
      <protection locked="1" hidden="0"/>
    </dxf>
    <dxf>
      <font>
        <b val="0"/>
        <i val="0"/>
        <strike val="0"/>
        <condense val="0"/>
        <extend val="0"/>
        <outline val="0"/>
        <shadow val="0"/>
        <u val="none"/>
        <vertAlign val="baseline"/>
        <sz val="11"/>
        <color auto="1"/>
        <name val="Times New Roman"/>
        <scheme val="none"/>
      </font>
      <numFmt numFmtId="0" formatCode="General"/>
      <fill>
        <patternFill patternType="solid">
          <fgColor indexed="64"/>
          <bgColor indexed="13"/>
        </patternFill>
      </fill>
      <border diagonalUp="0" diagonalDown="0">
        <left style="medium">
          <color rgb="FF000000"/>
        </left>
        <right/>
        <top/>
        <bottom/>
      </border>
      <protection locked="1" hidden="0"/>
    </dxf>
    <dxf>
      <border outline="0">
        <top style="medium">
          <color indexed="64"/>
        </top>
        <bottom style="medium">
          <color indexed="64"/>
        </bottom>
      </border>
    </dxf>
    <dxf>
      <protection locked="1" hidden="0"/>
    </dxf>
    <dxf>
      <border>
        <bottom style="medium">
          <color indexed="64"/>
        </bottom>
      </border>
    </dxf>
    <dxf>
      <font>
        <b val="0"/>
        <i val="0"/>
        <strike val="0"/>
        <condense val="0"/>
        <extend val="0"/>
        <outline val="0"/>
        <shadow val="0"/>
        <u val="none"/>
        <vertAlign val="baseline"/>
        <sz val="11"/>
        <color auto="1"/>
        <name val="Times New Roman"/>
        <scheme val="none"/>
      </font>
      <fill>
        <patternFill patternType="solid">
          <fgColor indexed="64"/>
          <bgColor theme="0" tint="-0.14999847407452621"/>
        </patternFill>
      </fill>
      <alignment horizontal="center" vertical="bottom" textRotation="0" wrapText="1" indent="0" justifyLastLine="0" shrinkToFit="0" readingOrder="0"/>
      <border diagonalUp="0" diagonalDown="0" outline="0">
        <left/>
        <right/>
        <top/>
        <bottom/>
      </border>
      <protection locked="1" hidden="0"/>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1"/>
        </patternFill>
      </fill>
    </dxf>
    <dxf>
      <fill>
        <patternFill>
          <bgColor rgb="FFFF0000"/>
        </patternFill>
      </fill>
    </dxf>
    <dxf>
      <fill>
        <patternFill>
          <bgColor rgb="FFFF0000"/>
        </patternFill>
      </fill>
    </dxf>
    <dxf>
      <fill>
        <patternFill>
          <bgColor theme="1"/>
        </patternFill>
      </fill>
    </dxf>
    <dxf>
      <fill>
        <patternFill>
          <bgColor rgb="FFFF0000"/>
        </patternFill>
      </fill>
    </dxf>
    <dxf>
      <fill>
        <patternFill>
          <bgColor theme="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3" tint="0.79998168889431442"/>
        </patternFill>
      </fill>
    </dxf>
    <dxf>
      <fill>
        <patternFill>
          <bgColor rgb="FFFF0000"/>
        </patternFill>
      </fill>
    </dxf>
    <dxf>
      <fill>
        <patternFill>
          <bgColor theme="3" tint="0.79998168889431442"/>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indexed="10"/>
        </patternFill>
      </fill>
    </dxf>
    <dxf>
      <fill>
        <patternFill>
          <bgColor rgb="FFFF0000"/>
        </patternFill>
      </fill>
    </dxf>
    <dxf>
      <fill>
        <patternFill>
          <bgColor rgb="FFFF0000"/>
        </patternFill>
      </fill>
    </dxf>
    <dxf>
      <fill>
        <patternFill>
          <bgColor indexed="1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1"/>
        </patternFill>
      </fill>
    </dxf>
    <dxf>
      <fill>
        <patternFill>
          <bgColor rgb="FFFF0000"/>
        </patternFill>
      </fill>
    </dxf>
    <dxf>
      <fill>
        <patternFill>
          <bgColor rgb="FFFF0000"/>
        </patternFill>
      </fill>
    </dxf>
    <dxf>
      <fill>
        <patternFill>
          <bgColor rgb="FFFF0000"/>
        </patternFill>
      </fill>
    </dxf>
    <dxf>
      <fill>
        <patternFill>
          <bgColor rgb="FFCCFFCC"/>
        </patternFill>
      </fill>
    </dxf>
    <dxf>
      <fill>
        <patternFill>
          <bgColor rgb="FFFF0000"/>
        </patternFill>
      </fill>
    </dxf>
    <dxf>
      <font>
        <b val="0"/>
        <i val="0"/>
        <strike val="0"/>
        <condense val="0"/>
        <extend val="0"/>
        <outline val="0"/>
        <shadow val="0"/>
        <u val="none"/>
        <vertAlign val="baseline"/>
        <sz val="11"/>
        <color auto="1"/>
        <name val="Times New Roman"/>
        <scheme val="none"/>
      </font>
      <numFmt numFmtId="4" formatCode="#,##0.00"/>
      <fill>
        <patternFill patternType="solid">
          <fgColor indexed="64"/>
          <bgColor theme="0" tint="-0.14996795556505021"/>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indexed="8"/>
        </patternFill>
      </fill>
      <alignment horizontal="general" vertical="center"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theme="0" tint="-0.14999847407452621"/>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theme="0" tint="-0.14996795556505021"/>
        </patternFill>
      </fill>
      <alignment horizontal="general" vertical="center" textRotation="0" wrapText="0" indent="0" justifyLastLine="0" shrinkToFit="0" readingOrder="0"/>
      <border diagonalUp="0" diagonalDown="0" outline="0">
        <left/>
        <right style="medium">
          <color indexed="64"/>
        </right>
        <top/>
        <bottom/>
      </border>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indexed="8"/>
        </patternFill>
      </fill>
      <alignment horizontal="general" vertical="center"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theme="0" tint="-0.14999847407452621"/>
        </patternFill>
      </fill>
      <alignment horizontal="general" vertical="center" textRotation="0" wrapText="0" indent="0" justifyLastLine="0" shrinkToFit="0" readingOrder="0"/>
      <protection locked="1" hidden="0"/>
    </dxf>
    <dxf>
      <font>
        <b/>
        <i val="0"/>
        <strike val="0"/>
        <condense val="0"/>
        <extend val="0"/>
        <outline val="0"/>
        <shadow val="0"/>
        <u val="none"/>
        <vertAlign val="baseline"/>
        <sz val="11"/>
        <color auto="1"/>
        <name val="Times New Roman"/>
        <scheme val="none"/>
      </font>
      <numFmt numFmtId="4" formatCode="#,##0.00"/>
      <fill>
        <patternFill patternType="solid">
          <fgColor indexed="64"/>
          <bgColor theme="1"/>
        </patternFill>
      </fill>
      <alignment horizontal="general" vertical="center" textRotation="0" wrapText="0" indent="0" justifyLastLine="0" shrinkToFit="0" readingOrder="0"/>
      <border diagonalUp="0" diagonalDown="0" outline="0">
        <left/>
        <right style="medium">
          <color indexed="64"/>
        </right>
        <top/>
        <bottom/>
      </border>
      <protection locked="1" hidden="0"/>
    </dxf>
    <dxf>
      <font>
        <b/>
        <i val="0"/>
        <strike val="0"/>
        <condense val="0"/>
        <extend val="0"/>
        <outline val="0"/>
        <shadow val="0"/>
        <u val="none"/>
        <vertAlign val="baseline"/>
        <sz val="11"/>
        <color auto="1"/>
        <name val="Times New Roman"/>
        <scheme val="none"/>
      </font>
      <numFmt numFmtId="4" formatCode="#,##0.00"/>
      <fill>
        <patternFill patternType="solid">
          <fgColor indexed="64"/>
          <bgColor theme="0" tint="-0.14999847407452621"/>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rgb="FFFFFF00"/>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theme="1"/>
        </patternFill>
      </fill>
      <alignment horizontal="general" vertical="center"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auto="1"/>
        <name val="Times New Roman"/>
        <scheme val="none"/>
      </font>
      <numFmt numFmtId="168" formatCode="#,##0.000"/>
      <fill>
        <patternFill patternType="none">
          <fgColor indexed="64"/>
          <bgColor indexed="65"/>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1"/>
        <color auto="1"/>
        <name val="Times New Roman"/>
        <scheme val="none"/>
      </font>
      <numFmt numFmtId="168" formatCode="#,##0.000"/>
      <fill>
        <patternFill patternType="none">
          <fgColor indexed="64"/>
          <bgColor indexed="65"/>
        </patternFill>
      </fill>
      <alignment horizontal="general" vertical="center"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auto="1"/>
        <name val="Times New Roman"/>
        <scheme val="none"/>
      </font>
      <numFmt numFmtId="168" formatCode="#,##0.000"/>
      <fill>
        <patternFill patternType="none">
          <fgColor indexed="64"/>
          <bgColor indexed="65"/>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theme="1"/>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theme="0" tint="-0.14999847407452621"/>
        </patternFill>
      </fill>
      <alignment horizontal="general" vertical="center"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auto="1"/>
        <name val="Times New Roman"/>
        <scheme val="none"/>
      </font>
      <numFmt numFmtId="3" formatCode="#,##0"/>
      <fill>
        <patternFill patternType="none">
          <fgColor indexed="64"/>
          <bgColor indexed="65"/>
        </patternFill>
      </fill>
      <alignment horizontal="general" vertical="center" textRotation="0" wrapText="0" indent="0" justifyLastLine="0" shrinkToFit="0" readingOrder="0"/>
      <border diagonalUp="0" diagonalDown="0" outline="0">
        <left style="medium">
          <color indexed="64"/>
        </left>
        <right/>
        <top/>
        <bottom/>
      </border>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indexed="8"/>
        </patternFill>
      </fill>
      <alignment horizontal="general" vertical="center" textRotation="0" wrapText="0" indent="0" justifyLastLine="0" shrinkToFit="0" readingOrder="0"/>
      <border diagonalUp="0" diagonalDown="0" outline="0">
        <left/>
        <right style="medium">
          <color indexed="64"/>
        </right>
        <top/>
        <bottom/>
      </border>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theme="0" tint="-0.14999847407452621"/>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1"/>
        <color auto="1"/>
        <name val="Times New Roman"/>
        <scheme val="none"/>
      </font>
      <numFmt numFmtId="4" formatCode="#,##0.00"/>
      <alignment horizontal="center" vertical="bottom" textRotation="0" wrapText="0" indent="0" justifyLastLine="0" shrinkToFit="0" readingOrder="0"/>
      <protection locked="1" hidden="0"/>
    </dxf>
    <dxf>
      <font>
        <b val="0"/>
        <i val="0"/>
        <strike val="0"/>
        <condense val="0"/>
        <extend val="0"/>
        <outline val="0"/>
        <shadow val="0"/>
        <u val="none"/>
        <vertAlign val="baseline"/>
        <sz val="11"/>
        <color auto="1"/>
        <name val="Times New Roman"/>
        <scheme val="none"/>
      </font>
      <numFmt numFmtId="3" formatCode="#,##0"/>
      <fill>
        <patternFill patternType="solid">
          <fgColor indexed="64"/>
          <bgColor rgb="FFFFFF00"/>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rgb="FFFFFF99"/>
        </patternFill>
      </fill>
      <protection locked="1" hidden="0"/>
    </dxf>
    <dxf>
      <font>
        <b val="0"/>
        <i val="0"/>
        <strike val="0"/>
        <condense val="0"/>
        <extend val="0"/>
        <outline val="0"/>
        <shadow val="0"/>
        <u val="none"/>
        <vertAlign val="baseline"/>
        <sz val="11"/>
        <color auto="1"/>
        <name val="Times New Roman"/>
        <family val="1"/>
        <scheme val="none"/>
      </font>
      <numFmt numFmtId="4" formatCode="#,##0.00"/>
      <fill>
        <patternFill patternType="solid">
          <fgColor indexed="64"/>
          <bgColor rgb="FFFFFF99"/>
        </patternFill>
      </fill>
      <protection locked="0" hidden="0"/>
    </dxf>
    <dxf>
      <font>
        <b/>
        <i val="0"/>
        <strike val="0"/>
        <condense val="0"/>
        <extend val="0"/>
        <outline val="0"/>
        <shadow val="0"/>
        <u val="none"/>
        <vertAlign val="baseline"/>
        <sz val="11"/>
        <color auto="1"/>
        <name val="Times New Roman"/>
        <scheme val="none"/>
      </font>
      <numFmt numFmtId="168" formatCode="#,##0.000"/>
      <border diagonalUp="0" diagonalDown="0" outline="0">
        <left/>
        <right style="thin">
          <color indexed="64"/>
        </right>
        <top/>
        <bottom/>
      </border>
      <protection locked="1" hidden="0"/>
    </dxf>
    <dxf>
      <font>
        <b val="0"/>
        <i val="0"/>
        <strike val="0"/>
        <condense val="0"/>
        <extend val="0"/>
        <outline val="0"/>
        <shadow val="0"/>
        <u val="none"/>
        <vertAlign val="baseline"/>
        <sz val="11"/>
        <color auto="1"/>
        <name val="Times New Roman"/>
        <scheme val="none"/>
      </font>
      <numFmt numFmtId="168" formatCode="#,##0.000"/>
      <protection locked="1" hidden="0"/>
    </dxf>
    <dxf>
      <font>
        <b val="0"/>
        <i val="0"/>
        <strike val="0"/>
        <condense val="0"/>
        <extend val="0"/>
        <outline val="0"/>
        <shadow val="0"/>
        <u val="none"/>
        <vertAlign val="baseline"/>
        <sz val="11"/>
        <color auto="1"/>
        <name val="Times New Roman"/>
        <scheme val="none"/>
      </font>
      <numFmt numFmtId="168" formatCode="#,##0.000"/>
      <fill>
        <patternFill patternType="solid">
          <fgColor indexed="64"/>
          <bgColor theme="1"/>
        </patternFill>
      </fill>
      <protection locked="1" hidden="0"/>
    </dxf>
    <dxf>
      <font>
        <b val="0"/>
        <i val="0"/>
        <strike val="0"/>
        <condense val="0"/>
        <extend val="0"/>
        <outline val="0"/>
        <shadow val="0"/>
        <u val="none"/>
        <vertAlign val="baseline"/>
        <sz val="11"/>
        <color auto="1"/>
        <name val="Times New Roman"/>
        <scheme val="none"/>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top/>
        <bottom/>
      </border>
      <protection locked="1" hidden="0"/>
    </dxf>
    <dxf>
      <font>
        <b/>
        <i val="0"/>
        <strike val="0"/>
        <condense val="0"/>
        <extend val="0"/>
        <outline val="0"/>
        <shadow val="0"/>
        <u val="none"/>
        <vertAlign val="baseline"/>
        <sz val="11"/>
        <color auto="1"/>
        <name val="Times New Roman"/>
        <scheme val="none"/>
      </font>
      <numFmt numFmtId="3" formatCode="#,##0"/>
      <fill>
        <patternFill patternType="none">
          <fgColor indexed="64"/>
          <bgColor indexed="65"/>
        </patternFill>
      </fill>
      <alignment horizontal="general" vertical="center"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auto="1"/>
        <name val="Times New Roman"/>
        <scheme val="none"/>
      </font>
      <numFmt numFmtId="3" formatCode="#,##0"/>
      <fill>
        <patternFill patternType="solid">
          <fgColor indexed="64"/>
          <bgColor indexed="13"/>
        </patternFill>
      </fill>
      <protection locked="1" hidden="0"/>
    </dxf>
    <dxf>
      <font>
        <strike val="0"/>
        <outline val="0"/>
        <shadow val="0"/>
        <u val="none"/>
        <vertAlign val="baseline"/>
        <sz val="11"/>
        <color theme="1"/>
        <name val="Times New Roman"/>
        <scheme val="none"/>
      </font>
      <fill>
        <patternFill patternType="solid">
          <fgColor indexed="64"/>
          <bgColor rgb="FFFFFF00"/>
        </patternFill>
      </fill>
      <alignment horizontal="right" vertical="bottom" textRotation="0" wrapText="0" indent="0" justifyLastLine="0" shrinkToFit="0" readingOrder="0"/>
      <protection locked="1" hidden="0"/>
    </dxf>
    <dxf>
      <font>
        <b val="0"/>
        <i val="0"/>
        <strike val="0"/>
        <condense val="0"/>
        <extend val="0"/>
        <outline val="0"/>
        <shadow val="0"/>
        <u val="none"/>
        <vertAlign val="baseline"/>
        <sz val="11"/>
        <color auto="1"/>
        <name val="Times New Roman"/>
        <scheme val="none"/>
      </font>
      <fill>
        <patternFill patternType="solid">
          <fgColor indexed="64"/>
          <bgColor indexed="13"/>
        </patternFill>
      </fill>
      <protection locked="0" hidden="0"/>
    </dxf>
    <dxf>
      <font>
        <b val="0"/>
        <i val="0"/>
        <strike val="0"/>
        <condense val="0"/>
        <extend val="0"/>
        <outline val="0"/>
        <shadow val="0"/>
        <u val="none"/>
        <vertAlign val="baseline"/>
        <sz val="11"/>
        <color auto="1"/>
        <name val="Times New Roman"/>
        <scheme val="none"/>
      </font>
      <fill>
        <patternFill patternType="solid">
          <fgColor indexed="64"/>
          <bgColor rgb="FFFFFF00"/>
        </patternFill>
      </fill>
      <alignment horizontal="center" vertical="bottom" textRotation="0" wrapText="0" indent="0" justifyLastLine="0" shrinkToFit="0" readingOrder="0"/>
      <protection locked="1" hidden="0"/>
    </dxf>
    <dxf>
      <border outline="0">
        <left style="medium">
          <color indexed="64"/>
        </left>
        <right style="medium">
          <color indexed="64"/>
        </right>
        <top style="medium">
          <color indexed="64"/>
        </top>
        <bottom style="medium">
          <color indexed="64"/>
        </bottom>
      </border>
    </dxf>
    <dxf>
      <protection locked="1" hidden="0"/>
    </dxf>
    <dxf>
      <border>
        <bottom style="medium">
          <color indexed="64"/>
        </bottom>
      </border>
    </dxf>
    <dxf>
      <font>
        <b val="0"/>
        <i val="0"/>
        <strike val="0"/>
        <condense val="0"/>
        <extend val="0"/>
        <outline val="0"/>
        <shadow val="0"/>
        <u val="none"/>
        <vertAlign val="baseline"/>
        <sz val="11"/>
        <color auto="1"/>
        <name val="Times New Roman"/>
        <scheme val="none"/>
      </font>
      <fill>
        <patternFill patternType="solid">
          <fgColor indexed="64"/>
          <bgColor theme="0" tint="-0.14999847407452621"/>
        </patternFill>
      </fill>
      <alignment horizontal="center" vertical="bottom"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theme="0" tint="-0.14999847407452621"/>
        </patternFill>
      </fill>
      <alignment horizontal="general" vertical="center" textRotation="0" wrapText="0" indent="0" justifyLastLine="0" shrinkToFit="0" readingOrder="0"/>
      <border diagonalUp="0" diagonalDown="0" outline="0">
        <left/>
        <right style="medium">
          <color rgb="FF000000"/>
        </right>
        <top/>
        <bottom/>
      </border>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theme="0" tint="-0.14999847407452621"/>
        </patternFill>
      </fill>
      <alignment horizontal="general" vertical="center"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theme="0" tint="-0.14999847407452621"/>
        </patternFill>
      </fill>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theme="0" tint="-0.14999847407452621"/>
        </patternFill>
      </fill>
      <alignment horizontal="general" vertical="center" textRotation="0" wrapText="0" indent="0" justifyLastLine="0" shrinkToFit="0" readingOrder="0"/>
      <border diagonalUp="0" diagonalDown="0" outline="0">
        <left style="thin">
          <color indexed="64"/>
        </left>
        <right style="medium">
          <color indexed="64"/>
        </right>
        <top/>
        <bottom/>
      </border>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theme="0" tint="-0.14999847407452621"/>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theme="0" tint="-0.14999847407452621"/>
        </patternFill>
      </fill>
      <protection locked="1" hidden="0"/>
    </dxf>
    <dxf>
      <font>
        <b/>
        <i val="0"/>
        <strike val="0"/>
        <condense val="0"/>
        <extend val="0"/>
        <outline val="0"/>
        <shadow val="0"/>
        <u val="none"/>
        <vertAlign val="baseline"/>
        <sz val="11"/>
        <color auto="1"/>
        <name val="Times New Roman"/>
        <scheme val="none"/>
      </font>
      <numFmt numFmtId="4" formatCode="#,##0.00"/>
      <fill>
        <patternFill patternType="solid">
          <fgColor indexed="64"/>
          <bgColor theme="0" tint="-0.14999847407452621"/>
        </patternFill>
      </fill>
      <alignment horizontal="general" vertical="center" textRotation="0" wrapText="0" indent="0" justifyLastLine="0" shrinkToFit="0" readingOrder="0"/>
      <border diagonalUp="0" diagonalDown="0" outline="0">
        <left/>
        <right style="medium">
          <color indexed="64"/>
        </right>
        <top/>
        <bottom/>
      </border>
      <protection locked="1" hidden="0"/>
    </dxf>
    <dxf>
      <font>
        <b/>
        <i val="0"/>
        <strike val="0"/>
        <condense val="0"/>
        <extend val="0"/>
        <outline val="0"/>
        <shadow val="0"/>
        <u val="none"/>
        <vertAlign val="baseline"/>
        <sz val="11"/>
        <color auto="1"/>
        <name val="Times New Roman"/>
        <scheme val="none"/>
      </font>
      <numFmt numFmtId="4" formatCode="#,##0.00"/>
      <fill>
        <patternFill patternType="solid">
          <fgColor indexed="64"/>
          <bgColor theme="0" tint="-0.14999847407452621"/>
        </patternFill>
      </fill>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rgb="FFFFFF00"/>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theme="0" tint="-0.14999847407452621"/>
        </patternFill>
      </fill>
      <alignment horizontal="general" vertical="center"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auto="1"/>
        <name val="Times New Roman"/>
        <scheme val="none"/>
      </font>
      <numFmt numFmtId="168" formatCode="#,##0.000"/>
      <alignment horizontal="general" vertical="center" textRotation="0" wrapText="0" indent="0" justifyLastLine="0" shrinkToFit="0" readingOrder="0"/>
      <protection locked="1" hidden="0"/>
    </dxf>
    <dxf>
      <font>
        <b val="0"/>
        <i val="0"/>
        <strike val="0"/>
        <condense val="0"/>
        <extend val="0"/>
        <outline val="0"/>
        <shadow val="0"/>
        <u val="none"/>
        <vertAlign val="baseline"/>
        <sz val="11"/>
        <color auto="1"/>
        <name val="Times New Roman"/>
        <scheme val="none"/>
      </font>
      <numFmt numFmtId="168" formatCode="#,##0.000"/>
      <alignment horizontal="general" vertical="center" textRotation="0" wrapText="0" indent="0" justifyLastLine="0" shrinkToFit="0" readingOrder="0"/>
      <border diagonalUp="0" diagonalDown="0">
        <left/>
        <right style="thin">
          <color indexed="64"/>
        </right>
        <top/>
        <bottom/>
      </border>
      <protection locked="1" hidden="0"/>
    </dxf>
    <dxf>
      <font>
        <b val="0"/>
        <i val="0"/>
        <strike val="0"/>
        <condense val="0"/>
        <extend val="0"/>
        <outline val="0"/>
        <shadow val="0"/>
        <u val="none"/>
        <vertAlign val="baseline"/>
        <sz val="11"/>
        <color auto="1"/>
        <name val="Times New Roman"/>
        <scheme val="none"/>
      </font>
      <numFmt numFmtId="168" formatCode="#,##0.000"/>
      <fill>
        <patternFill patternType="none">
          <fgColor indexed="64"/>
          <bgColor indexed="65"/>
        </patternFill>
      </fill>
      <protection locked="1" hidden="0"/>
    </dxf>
    <dxf>
      <font>
        <b val="0"/>
        <i val="0"/>
        <strike val="0"/>
        <condense val="0"/>
        <extend val="0"/>
        <outline val="0"/>
        <shadow val="0"/>
        <u val="none"/>
        <vertAlign val="baseline"/>
        <sz val="11"/>
        <color auto="1"/>
        <name val="Times New Roman"/>
        <scheme val="none"/>
      </font>
      <numFmt numFmtId="168" formatCode="#,##0.000"/>
      <fill>
        <patternFill patternType="solid">
          <fgColor indexed="64"/>
          <bgColor rgb="FFFFFF00"/>
        </patternFill>
      </fill>
      <protection locked="0"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theme="0" tint="-0.14999847407452621"/>
        </patternFill>
      </fill>
      <alignment horizontal="general" vertical="center"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auto="1"/>
        <name val="Times New Roman"/>
        <scheme val="none"/>
      </font>
      <numFmt numFmtId="3" formatCode="#,##0"/>
      <alignment horizontal="general" vertical="center" textRotation="0" wrapText="0" indent="0" justifyLastLine="0" shrinkToFit="0" readingOrder="0"/>
      <border diagonalUp="0" diagonalDown="0" outline="0">
        <left style="medium">
          <color indexed="64"/>
        </left>
        <right/>
        <top/>
        <bottom/>
      </border>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theme="0" tint="-0.14999847407452621"/>
        </patternFill>
      </fill>
      <alignment horizontal="general" vertical="center" textRotation="0" wrapText="0" indent="0" justifyLastLine="0" shrinkToFit="0" readingOrder="0"/>
      <border diagonalUp="0" diagonalDown="0" outline="0">
        <left/>
        <right style="medium">
          <color indexed="64"/>
        </right>
        <top/>
        <bottom/>
      </border>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theme="0" tint="-0.14999847407452621"/>
        </patternFill>
      </fill>
      <protection locked="1" hidden="0"/>
    </dxf>
    <dxf>
      <font>
        <b val="0"/>
        <i val="0"/>
        <strike val="0"/>
        <condense val="0"/>
        <extend val="0"/>
        <outline val="0"/>
        <shadow val="0"/>
        <u val="none"/>
        <vertAlign val="baseline"/>
        <sz val="11"/>
        <color auto="1"/>
        <name val="Times New Roman"/>
        <scheme val="none"/>
      </font>
      <numFmt numFmtId="4" formatCode="#,##0.00"/>
      <fill>
        <patternFill patternType="none">
          <fgColor indexed="64"/>
          <bgColor indexed="65"/>
        </patternFill>
      </fill>
      <alignment horizontal="center" vertical="bottom" textRotation="0" wrapText="0" indent="0" justifyLastLine="0" shrinkToFit="0" readingOrder="0"/>
      <protection locked="1" hidden="0"/>
    </dxf>
    <dxf>
      <font>
        <b val="0"/>
        <i val="0"/>
        <strike val="0"/>
        <condense val="0"/>
        <extend val="0"/>
        <outline val="0"/>
        <shadow val="0"/>
        <u val="none"/>
        <vertAlign val="baseline"/>
        <sz val="11"/>
        <color auto="1"/>
        <name val="Times New Roman"/>
        <scheme val="none"/>
      </font>
      <numFmt numFmtId="0" formatCode="General"/>
      <fill>
        <patternFill patternType="solid">
          <fgColor indexed="64"/>
          <bgColor rgb="FFFFFF00"/>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rgb="FFFFFF99"/>
        </patternFill>
      </fill>
      <protection locked="1" hidden="0"/>
    </dxf>
    <dxf>
      <font>
        <b val="0"/>
        <i val="0"/>
        <strike val="0"/>
        <condense val="0"/>
        <extend val="0"/>
        <outline val="0"/>
        <shadow val="0"/>
        <u val="none"/>
        <vertAlign val="baseline"/>
        <sz val="11"/>
        <color auto="1"/>
        <name val="Times New Roman"/>
        <family val="1"/>
        <scheme val="none"/>
      </font>
      <numFmt numFmtId="4" formatCode="#,##0.00"/>
      <fill>
        <patternFill patternType="solid">
          <fgColor indexed="64"/>
          <bgColor rgb="FFFFFF99"/>
        </patternFill>
      </fill>
      <protection locked="0" hidden="0"/>
    </dxf>
    <dxf>
      <font>
        <b/>
        <i val="0"/>
        <strike val="0"/>
        <condense val="0"/>
        <extend val="0"/>
        <outline val="0"/>
        <shadow val="0"/>
        <u val="none"/>
        <vertAlign val="baseline"/>
        <sz val="11"/>
        <color auto="1"/>
        <name val="Times New Roman"/>
        <scheme val="none"/>
      </font>
      <numFmt numFmtId="168" formatCode="#,##0.000"/>
      <border diagonalUp="0" diagonalDown="0" outline="0">
        <left/>
        <right style="thin">
          <color indexed="64"/>
        </right>
        <top/>
        <bottom/>
      </border>
      <protection locked="1" hidden="0"/>
    </dxf>
    <dxf>
      <font>
        <b val="0"/>
        <i val="0"/>
        <strike val="0"/>
        <condense val="0"/>
        <extend val="0"/>
        <outline val="0"/>
        <shadow val="0"/>
        <u val="none"/>
        <vertAlign val="baseline"/>
        <sz val="11"/>
        <color auto="1"/>
        <name val="Times New Roman"/>
        <scheme val="none"/>
      </font>
      <numFmt numFmtId="168" formatCode="#,##0.000"/>
      <protection locked="1" hidden="0"/>
    </dxf>
    <dxf>
      <font>
        <b val="0"/>
        <i val="0"/>
        <strike val="0"/>
        <condense val="0"/>
        <extend val="0"/>
        <outline val="0"/>
        <shadow val="0"/>
        <u val="none"/>
        <vertAlign val="baseline"/>
        <sz val="11"/>
        <color auto="1"/>
        <name val="Times New Roman"/>
        <scheme val="none"/>
      </font>
      <numFmt numFmtId="168" formatCode="#,##0.000"/>
      <fill>
        <patternFill patternType="solid">
          <fgColor indexed="64"/>
          <bgColor rgb="FFFFFF00"/>
        </patternFill>
      </fill>
      <protection locked="0" hidden="0"/>
    </dxf>
    <dxf>
      <font>
        <b val="0"/>
        <i val="0"/>
        <strike val="0"/>
        <condense val="0"/>
        <extend val="0"/>
        <outline val="0"/>
        <shadow val="0"/>
        <u val="none"/>
        <vertAlign val="baseline"/>
        <sz val="11"/>
        <color auto="1"/>
        <name val="Times New Roman"/>
        <scheme val="none"/>
      </font>
      <fill>
        <patternFill patternType="solid">
          <fgColor indexed="64"/>
          <bgColor indexed="13"/>
        </patternFill>
      </fill>
      <alignment horizontal="center" vertical="center" textRotation="0" wrapText="0" indent="0" justifyLastLine="0" shrinkToFit="0" readingOrder="0"/>
      <protection locked="0" hidden="0"/>
    </dxf>
    <dxf>
      <font>
        <b/>
        <i val="0"/>
        <strike val="0"/>
        <condense val="0"/>
        <extend val="0"/>
        <outline val="0"/>
        <shadow val="0"/>
        <u val="none"/>
        <vertAlign val="baseline"/>
        <sz val="11"/>
        <color auto="1"/>
        <name val="Times New Roman"/>
        <scheme val="none"/>
      </font>
      <numFmt numFmtId="3" formatCode="#,##0"/>
      <fill>
        <patternFill patternType="none">
          <fgColor indexed="64"/>
          <bgColor indexed="65"/>
        </patternFill>
      </fill>
      <alignment horizontal="general" vertical="center"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auto="1"/>
        <name val="Times New Roman"/>
        <scheme val="none"/>
      </font>
      <numFmt numFmtId="3" formatCode="#,##0"/>
      <fill>
        <patternFill patternType="solid">
          <fgColor indexed="64"/>
          <bgColor indexed="13"/>
        </patternFill>
      </fill>
      <protection locked="1" hidden="0"/>
    </dxf>
    <dxf>
      <font>
        <b val="0"/>
        <i val="0"/>
        <strike val="0"/>
        <condense val="0"/>
        <extend val="0"/>
        <outline val="0"/>
        <shadow val="0"/>
        <u val="none"/>
        <vertAlign val="baseline"/>
        <sz val="11"/>
        <color auto="1"/>
        <name val="Times New Roman"/>
        <scheme val="none"/>
      </font>
      <fill>
        <patternFill patternType="solid">
          <fgColor indexed="64"/>
          <bgColor indexed="13"/>
        </patternFill>
      </fill>
      <protection locked="0" hidden="0"/>
    </dxf>
    <dxf>
      <font>
        <b val="0"/>
        <i val="0"/>
        <strike val="0"/>
        <condense val="0"/>
        <extend val="0"/>
        <outline val="0"/>
        <shadow val="0"/>
        <u val="none"/>
        <vertAlign val="baseline"/>
        <sz val="11"/>
        <color auto="1"/>
        <name val="Times New Roman"/>
        <scheme val="none"/>
      </font>
      <fill>
        <patternFill patternType="solid">
          <fgColor indexed="64"/>
          <bgColor indexed="13"/>
        </patternFill>
      </fill>
      <protection locked="0" hidden="0"/>
    </dxf>
    <dxf>
      <font>
        <b val="0"/>
        <i val="0"/>
        <strike val="0"/>
        <condense val="0"/>
        <extend val="0"/>
        <outline val="0"/>
        <shadow val="0"/>
        <u val="none"/>
        <vertAlign val="baseline"/>
        <sz val="11"/>
        <color auto="1"/>
        <name val="Times New Roman"/>
        <scheme val="none"/>
      </font>
      <fill>
        <patternFill patternType="solid">
          <fgColor indexed="64"/>
          <bgColor indexed="13"/>
        </patternFill>
      </fill>
      <border diagonalUp="0" diagonalDown="0" outline="0">
        <left style="medium">
          <color rgb="FF000000"/>
        </left>
        <right/>
        <top/>
        <bottom/>
      </border>
      <protection locked="1" hidden="0"/>
    </dxf>
    <dxf>
      <border outline="0">
        <top style="medium">
          <color indexed="64"/>
        </top>
        <bottom style="medium">
          <color indexed="64"/>
        </bottom>
      </border>
    </dxf>
    <dxf>
      <protection locked="1" hidden="0"/>
    </dxf>
    <dxf>
      <border>
        <bottom style="medium">
          <color indexed="64"/>
        </bottom>
      </border>
    </dxf>
    <dxf>
      <font>
        <b val="0"/>
        <i val="0"/>
        <strike val="0"/>
        <condense val="0"/>
        <extend val="0"/>
        <outline val="0"/>
        <shadow val="0"/>
        <u val="none"/>
        <vertAlign val="baseline"/>
        <sz val="11"/>
        <color auto="1"/>
        <name val="Times New Roman"/>
        <scheme val="none"/>
      </font>
      <fill>
        <patternFill patternType="solid">
          <fgColor indexed="64"/>
          <bgColor theme="0" tint="-0.14999847407452621"/>
        </patternFill>
      </fill>
      <alignment horizontal="center" vertical="bottom" textRotation="0" wrapText="1" indent="0" justifyLastLine="0" shrinkToFit="0" readingOrder="0"/>
      <border diagonalUp="0" diagonalDown="0" outline="0">
        <left/>
        <right/>
        <top/>
        <bottom/>
      </border>
      <protection locked="1" hidden="0"/>
    </dxf>
    <dxf>
      <fill>
        <patternFill>
          <bgColor rgb="FFFF0000"/>
        </patternFill>
      </fill>
    </dxf>
    <dxf>
      <fill>
        <patternFill>
          <bgColor rgb="FFFF0000"/>
        </patternFill>
      </fill>
    </dxf>
    <dxf>
      <fill>
        <patternFill>
          <bgColor theme="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3" tint="0.79998168889431442"/>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3" tint="0.79998168889431442"/>
        </patternFill>
      </fill>
    </dxf>
    <dxf>
      <fill>
        <patternFill>
          <bgColor theme="3" tint="0.79998168889431442"/>
        </patternFill>
      </fill>
    </dxf>
    <dxf>
      <fill>
        <patternFill>
          <bgColor indexed="10"/>
        </patternFill>
      </fill>
    </dxf>
    <dxf>
      <fill>
        <patternFill>
          <bgColor indexed="1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1"/>
        </patternFill>
      </fill>
    </dxf>
    <dxf>
      <fill>
        <patternFill>
          <bgColor rgb="FFFF0000"/>
        </patternFill>
      </fill>
    </dxf>
    <dxf>
      <fill>
        <patternFill>
          <bgColor rgb="FFFF0000"/>
        </patternFill>
      </fill>
    </dxf>
    <dxf>
      <fill>
        <patternFill>
          <bgColor rgb="FFFF0000"/>
        </patternFill>
      </fill>
    </dxf>
    <dxf>
      <fill>
        <patternFill>
          <bgColor rgb="FFCCFFCC"/>
        </patternFill>
      </fill>
    </dxf>
    <dxf>
      <fill>
        <patternFill>
          <bgColor rgb="FFFF0000"/>
        </patternFill>
      </fill>
    </dxf>
    <dxf>
      <font>
        <b val="0"/>
        <i val="0"/>
        <strike val="0"/>
        <condense val="0"/>
        <extend val="0"/>
        <outline val="0"/>
        <shadow val="0"/>
        <u val="none"/>
        <vertAlign val="baseline"/>
        <sz val="11"/>
        <color auto="1"/>
        <name val="Times New Roman"/>
        <scheme val="none"/>
      </font>
      <numFmt numFmtId="4" formatCode="#,##0.00"/>
      <fill>
        <patternFill patternType="solid">
          <fgColor indexed="64"/>
          <bgColor theme="0" tint="-0.14996795556505021"/>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indexed="8"/>
        </patternFill>
      </fill>
      <alignment horizontal="general" vertical="center"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theme="0" tint="-0.14999847407452621"/>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theme="0" tint="-0.14996795556505021"/>
        </patternFill>
      </fill>
      <alignment horizontal="general" vertical="center" textRotation="0" wrapText="0" indent="0" justifyLastLine="0" shrinkToFit="0" readingOrder="0"/>
      <border diagonalUp="0" diagonalDown="0" outline="0">
        <left/>
        <right style="medium">
          <color indexed="64"/>
        </right>
        <top/>
        <bottom/>
      </border>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indexed="8"/>
        </patternFill>
      </fill>
      <alignment horizontal="general" vertical="center"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theme="0" tint="-0.14999847407452621"/>
        </patternFill>
      </fill>
      <alignment horizontal="general" vertical="center" textRotation="0" wrapText="0" indent="0" justifyLastLine="0" shrinkToFit="0" readingOrder="0"/>
      <protection locked="1" hidden="0"/>
    </dxf>
    <dxf>
      <font>
        <b/>
        <i val="0"/>
        <strike val="0"/>
        <condense val="0"/>
        <extend val="0"/>
        <outline val="0"/>
        <shadow val="0"/>
        <u val="none"/>
        <vertAlign val="baseline"/>
        <sz val="11"/>
        <color auto="1"/>
        <name val="Times New Roman"/>
        <scheme val="none"/>
      </font>
      <numFmt numFmtId="4" formatCode="#,##0.00"/>
      <fill>
        <patternFill patternType="solid">
          <fgColor indexed="64"/>
          <bgColor theme="1"/>
        </patternFill>
      </fill>
      <alignment horizontal="general" vertical="center" textRotation="0" wrapText="0" indent="0" justifyLastLine="0" shrinkToFit="0" readingOrder="0"/>
      <border diagonalUp="0" diagonalDown="0" outline="0">
        <left/>
        <right style="medium">
          <color indexed="64"/>
        </right>
        <top/>
        <bottom/>
      </border>
      <protection locked="1" hidden="0"/>
    </dxf>
    <dxf>
      <font>
        <b/>
        <i val="0"/>
        <strike val="0"/>
        <condense val="0"/>
        <extend val="0"/>
        <outline val="0"/>
        <shadow val="0"/>
        <u val="none"/>
        <vertAlign val="baseline"/>
        <sz val="11"/>
        <color auto="1"/>
        <name val="Times New Roman"/>
        <scheme val="none"/>
      </font>
      <numFmt numFmtId="4" formatCode="#,##0.00"/>
      <fill>
        <patternFill patternType="solid">
          <fgColor indexed="64"/>
          <bgColor theme="0" tint="-0.14999847407452621"/>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rgb="FFFFFF00"/>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theme="1"/>
        </patternFill>
      </fill>
      <alignment horizontal="general" vertical="center"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auto="1"/>
        <name val="Times New Roman"/>
        <scheme val="none"/>
      </font>
      <numFmt numFmtId="168" formatCode="#,##0.000"/>
      <fill>
        <patternFill patternType="none">
          <fgColor indexed="64"/>
          <bgColor indexed="65"/>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1"/>
        <color auto="1"/>
        <name val="Times New Roman"/>
        <scheme val="none"/>
      </font>
      <numFmt numFmtId="168" formatCode="#,##0.000"/>
      <fill>
        <patternFill patternType="none">
          <fgColor indexed="64"/>
          <bgColor indexed="65"/>
        </patternFill>
      </fill>
      <alignment horizontal="general" vertical="center"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auto="1"/>
        <name val="Times New Roman"/>
        <scheme val="none"/>
      </font>
      <numFmt numFmtId="168" formatCode="#,##0.000"/>
      <fill>
        <patternFill patternType="none">
          <fgColor indexed="64"/>
          <bgColor indexed="65"/>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theme="1"/>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theme="0" tint="-0.14999847407452621"/>
        </patternFill>
      </fill>
      <alignment horizontal="general" vertical="center"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auto="1"/>
        <name val="Times New Roman"/>
        <scheme val="none"/>
      </font>
      <numFmt numFmtId="3" formatCode="#,##0"/>
      <fill>
        <patternFill patternType="none">
          <fgColor indexed="64"/>
          <bgColor indexed="65"/>
        </patternFill>
      </fill>
      <alignment horizontal="general" vertical="center" textRotation="0" wrapText="0" indent="0" justifyLastLine="0" shrinkToFit="0" readingOrder="0"/>
      <border diagonalUp="0" diagonalDown="0" outline="0">
        <left style="medium">
          <color indexed="64"/>
        </left>
        <right/>
        <top/>
        <bottom/>
      </border>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indexed="8"/>
        </patternFill>
      </fill>
      <alignment horizontal="general" vertical="center" textRotation="0" wrapText="0" indent="0" justifyLastLine="0" shrinkToFit="0" readingOrder="0"/>
      <border diagonalUp="0" diagonalDown="0" outline="0">
        <left/>
        <right style="medium">
          <color indexed="64"/>
        </right>
        <top/>
        <bottom/>
      </border>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theme="0" tint="-0.14999847407452621"/>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1"/>
        <color auto="1"/>
        <name val="Times New Roman"/>
        <scheme val="none"/>
      </font>
      <numFmt numFmtId="4" formatCode="#,##0.00"/>
      <alignment horizontal="center" vertical="bottom" textRotation="0" wrapText="0" indent="0" justifyLastLine="0" shrinkToFit="0" readingOrder="0"/>
      <protection locked="1" hidden="0"/>
    </dxf>
    <dxf>
      <font>
        <b val="0"/>
        <i val="0"/>
        <strike val="0"/>
        <condense val="0"/>
        <extend val="0"/>
        <outline val="0"/>
        <shadow val="0"/>
        <u val="none"/>
        <vertAlign val="baseline"/>
        <sz val="11"/>
        <color auto="1"/>
        <name val="Times New Roman"/>
        <scheme val="none"/>
      </font>
      <numFmt numFmtId="3" formatCode="#,##0"/>
      <fill>
        <patternFill patternType="solid">
          <fgColor indexed="64"/>
          <bgColor rgb="FFFFFF00"/>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rgb="FFFFFF99"/>
        </patternFill>
      </fill>
      <protection locked="1" hidden="0"/>
    </dxf>
    <dxf>
      <font>
        <b val="0"/>
        <i val="0"/>
        <strike val="0"/>
        <condense val="0"/>
        <extend val="0"/>
        <outline val="0"/>
        <shadow val="0"/>
        <u val="none"/>
        <vertAlign val="baseline"/>
        <sz val="11"/>
        <color auto="1"/>
        <name val="Times New Roman"/>
        <family val="1"/>
        <scheme val="none"/>
      </font>
      <numFmt numFmtId="4" formatCode="#,##0.00"/>
      <fill>
        <patternFill patternType="solid">
          <fgColor indexed="64"/>
          <bgColor rgb="FFFFFF99"/>
        </patternFill>
      </fill>
      <protection locked="0" hidden="0"/>
    </dxf>
    <dxf>
      <font>
        <b/>
        <i val="0"/>
        <strike val="0"/>
        <condense val="0"/>
        <extend val="0"/>
        <outline val="0"/>
        <shadow val="0"/>
        <u val="none"/>
        <vertAlign val="baseline"/>
        <sz val="11"/>
        <color auto="1"/>
        <name val="Times New Roman"/>
        <scheme val="none"/>
      </font>
      <numFmt numFmtId="168" formatCode="#,##0.000"/>
      <border diagonalUp="0" diagonalDown="0" outline="0">
        <left/>
        <right style="thin">
          <color indexed="64"/>
        </right>
        <top/>
        <bottom/>
      </border>
      <protection locked="1" hidden="0"/>
    </dxf>
    <dxf>
      <font>
        <b val="0"/>
        <i val="0"/>
        <strike val="0"/>
        <condense val="0"/>
        <extend val="0"/>
        <outline val="0"/>
        <shadow val="0"/>
        <u val="none"/>
        <vertAlign val="baseline"/>
        <sz val="11"/>
        <color auto="1"/>
        <name val="Times New Roman"/>
        <scheme val="none"/>
      </font>
      <numFmt numFmtId="168" formatCode="#,##0.000"/>
      <protection locked="1" hidden="0"/>
    </dxf>
    <dxf>
      <font>
        <b val="0"/>
        <i val="0"/>
        <strike val="0"/>
        <condense val="0"/>
        <extend val="0"/>
        <outline val="0"/>
        <shadow val="0"/>
        <u val="none"/>
        <vertAlign val="baseline"/>
        <sz val="11"/>
        <color auto="1"/>
        <name val="Times New Roman"/>
        <scheme val="none"/>
      </font>
      <numFmt numFmtId="168" formatCode="#,##0.000"/>
      <fill>
        <patternFill patternType="solid">
          <fgColor indexed="64"/>
          <bgColor theme="1"/>
        </patternFill>
      </fill>
      <protection locked="1" hidden="0"/>
    </dxf>
    <dxf>
      <font>
        <b val="0"/>
        <i val="0"/>
        <strike val="0"/>
        <condense val="0"/>
        <extend val="0"/>
        <outline val="0"/>
        <shadow val="0"/>
        <u val="none"/>
        <vertAlign val="baseline"/>
        <sz val="11"/>
        <color auto="1"/>
        <name val="Times New Roman"/>
        <scheme val="none"/>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top/>
        <bottom/>
      </border>
      <protection locked="1" hidden="0"/>
    </dxf>
    <dxf>
      <font>
        <b/>
        <i val="0"/>
        <strike val="0"/>
        <condense val="0"/>
        <extend val="0"/>
        <outline val="0"/>
        <shadow val="0"/>
        <u val="none"/>
        <vertAlign val="baseline"/>
        <sz val="11"/>
        <color auto="1"/>
        <name val="Times New Roman"/>
        <scheme val="none"/>
      </font>
      <numFmt numFmtId="3" formatCode="#,##0"/>
      <fill>
        <patternFill patternType="none">
          <fgColor indexed="64"/>
          <bgColor indexed="65"/>
        </patternFill>
      </fill>
      <alignment horizontal="general" vertical="center"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auto="1"/>
        <name val="Times New Roman"/>
        <scheme val="none"/>
      </font>
      <numFmt numFmtId="3" formatCode="#,##0"/>
      <fill>
        <patternFill patternType="solid">
          <fgColor indexed="64"/>
          <bgColor indexed="13"/>
        </patternFill>
      </fill>
      <protection locked="1" hidden="0"/>
    </dxf>
    <dxf>
      <font>
        <strike val="0"/>
        <outline val="0"/>
        <shadow val="0"/>
        <u val="none"/>
        <vertAlign val="baseline"/>
        <sz val="11"/>
        <color theme="1"/>
        <name val="Times New Roman"/>
        <scheme val="none"/>
      </font>
      <fill>
        <patternFill patternType="solid">
          <fgColor indexed="64"/>
          <bgColor rgb="FFFFFF00"/>
        </patternFill>
      </fill>
      <alignment horizontal="right" vertical="bottom" textRotation="0" wrapText="0" indent="0" justifyLastLine="0" shrinkToFit="0" readingOrder="0"/>
      <protection locked="1" hidden="0"/>
    </dxf>
    <dxf>
      <font>
        <b val="0"/>
        <i val="0"/>
        <strike val="0"/>
        <condense val="0"/>
        <extend val="0"/>
        <outline val="0"/>
        <shadow val="0"/>
        <u val="none"/>
        <vertAlign val="baseline"/>
        <sz val="11"/>
        <color auto="1"/>
        <name val="Times New Roman"/>
        <scheme val="none"/>
      </font>
      <fill>
        <patternFill patternType="solid">
          <fgColor indexed="64"/>
          <bgColor indexed="13"/>
        </patternFill>
      </fill>
      <protection locked="0" hidden="0"/>
    </dxf>
    <dxf>
      <font>
        <b val="0"/>
        <i val="0"/>
        <strike val="0"/>
        <condense val="0"/>
        <extend val="0"/>
        <outline val="0"/>
        <shadow val="0"/>
        <u val="none"/>
        <vertAlign val="baseline"/>
        <sz val="11"/>
        <color auto="1"/>
        <name val="Times New Roman"/>
        <scheme val="none"/>
      </font>
      <fill>
        <patternFill patternType="solid">
          <fgColor indexed="64"/>
          <bgColor rgb="FFFFFF00"/>
        </patternFill>
      </fill>
      <alignment horizontal="center" vertical="bottom" textRotation="0" wrapText="0" indent="0" justifyLastLine="0" shrinkToFit="0" readingOrder="0"/>
      <protection locked="1" hidden="0"/>
    </dxf>
    <dxf>
      <border outline="0">
        <left style="medium">
          <color indexed="64"/>
        </left>
        <right style="medium">
          <color indexed="64"/>
        </right>
        <top style="medium">
          <color indexed="64"/>
        </top>
        <bottom style="medium">
          <color indexed="64"/>
        </bottom>
      </border>
    </dxf>
    <dxf>
      <protection locked="1" hidden="0"/>
    </dxf>
    <dxf>
      <border>
        <bottom style="medium">
          <color indexed="64"/>
        </bottom>
      </border>
    </dxf>
    <dxf>
      <font>
        <b val="0"/>
        <i val="0"/>
        <strike val="0"/>
        <condense val="0"/>
        <extend val="0"/>
        <outline val="0"/>
        <shadow val="0"/>
        <u val="none"/>
        <vertAlign val="baseline"/>
        <sz val="11"/>
        <color auto="1"/>
        <name val="Times New Roman"/>
        <scheme val="none"/>
      </font>
      <fill>
        <patternFill patternType="solid">
          <fgColor indexed="64"/>
          <bgColor theme="0" tint="-0.14999847407452621"/>
        </patternFill>
      </fill>
      <alignment horizontal="center" vertical="bottom"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theme="0" tint="-0.14999847407452621"/>
        </patternFill>
      </fill>
      <alignment horizontal="general" vertical="center" textRotation="0" wrapText="0" indent="0" justifyLastLine="0" shrinkToFit="0" readingOrder="0"/>
      <border diagonalUp="0" diagonalDown="0" outline="0">
        <left/>
        <right style="medium">
          <color rgb="FF000000"/>
        </right>
        <top/>
        <bottom/>
      </border>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theme="0" tint="-0.14999847407452621"/>
        </patternFill>
      </fill>
      <alignment horizontal="general" vertical="center"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theme="0" tint="-0.14999847407452621"/>
        </patternFill>
      </fill>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theme="0" tint="-0.14999847407452621"/>
        </patternFill>
      </fill>
      <alignment horizontal="general" vertical="center" textRotation="0" wrapText="0" indent="0" justifyLastLine="0" shrinkToFit="0" readingOrder="0"/>
      <border diagonalUp="0" diagonalDown="0" outline="0">
        <left style="thin">
          <color indexed="64"/>
        </left>
        <right style="medium">
          <color indexed="64"/>
        </right>
        <top/>
        <bottom/>
      </border>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theme="0" tint="-0.14999847407452621"/>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theme="0" tint="-0.14999847407452621"/>
        </patternFill>
      </fill>
      <protection locked="1" hidden="0"/>
    </dxf>
    <dxf>
      <font>
        <b/>
        <i val="0"/>
        <strike val="0"/>
        <condense val="0"/>
        <extend val="0"/>
        <outline val="0"/>
        <shadow val="0"/>
        <u val="none"/>
        <vertAlign val="baseline"/>
        <sz val="11"/>
        <color auto="1"/>
        <name val="Times New Roman"/>
        <scheme val="none"/>
      </font>
      <numFmt numFmtId="4" formatCode="#,##0.00"/>
      <fill>
        <patternFill patternType="solid">
          <fgColor indexed="64"/>
          <bgColor theme="0" tint="-0.14999847407452621"/>
        </patternFill>
      </fill>
      <alignment horizontal="general" vertical="center" textRotation="0" wrapText="0" indent="0" justifyLastLine="0" shrinkToFit="0" readingOrder="0"/>
      <border diagonalUp="0" diagonalDown="0" outline="0">
        <left/>
        <right style="medium">
          <color indexed="64"/>
        </right>
        <top/>
        <bottom/>
      </border>
      <protection locked="1" hidden="0"/>
    </dxf>
    <dxf>
      <font>
        <b/>
        <i val="0"/>
        <strike val="0"/>
        <condense val="0"/>
        <extend val="0"/>
        <outline val="0"/>
        <shadow val="0"/>
        <u val="none"/>
        <vertAlign val="baseline"/>
        <sz val="11"/>
        <color auto="1"/>
        <name val="Times New Roman"/>
        <scheme val="none"/>
      </font>
      <numFmt numFmtId="4" formatCode="#,##0.00"/>
      <fill>
        <patternFill patternType="solid">
          <fgColor indexed="64"/>
          <bgColor theme="0" tint="-0.14999847407452621"/>
        </patternFill>
      </fill>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rgb="FFFFFF00"/>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theme="0" tint="-0.14999847407452621"/>
        </patternFill>
      </fill>
      <alignment horizontal="general" vertical="center"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auto="1"/>
        <name val="Times New Roman"/>
        <scheme val="none"/>
      </font>
      <numFmt numFmtId="168" formatCode="#,##0.000"/>
      <alignment horizontal="general" vertical="center" textRotation="0" wrapText="0" indent="0" justifyLastLine="0" shrinkToFit="0" readingOrder="0"/>
      <protection locked="1" hidden="0"/>
    </dxf>
    <dxf>
      <font>
        <b val="0"/>
        <i val="0"/>
        <strike val="0"/>
        <condense val="0"/>
        <extend val="0"/>
        <outline val="0"/>
        <shadow val="0"/>
        <u val="none"/>
        <vertAlign val="baseline"/>
        <sz val="11"/>
        <color auto="1"/>
        <name val="Times New Roman"/>
        <scheme val="none"/>
      </font>
      <numFmt numFmtId="168" formatCode="#,##0.000"/>
      <alignment horizontal="general" vertical="center" textRotation="0" wrapText="0" indent="0" justifyLastLine="0" shrinkToFit="0" readingOrder="0"/>
      <border diagonalUp="0" diagonalDown="0">
        <left/>
        <right style="thin">
          <color indexed="64"/>
        </right>
        <top/>
        <bottom/>
      </border>
      <protection locked="1" hidden="0"/>
    </dxf>
    <dxf>
      <font>
        <b val="0"/>
        <i val="0"/>
        <strike val="0"/>
        <condense val="0"/>
        <extend val="0"/>
        <outline val="0"/>
        <shadow val="0"/>
        <u val="none"/>
        <vertAlign val="baseline"/>
        <sz val="11"/>
        <color auto="1"/>
        <name val="Times New Roman"/>
        <scheme val="none"/>
      </font>
      <numFmt numFmtId="168" formatCode="#,##0.000"/>
      <fill>
        <patternFill patternType="none">
          <fgColor indexed="64"/>
          <bgColor indexed="65"/>
        </patternFill>
      </fill>
      <protection locked="1" hidden="0"/>
    </dxf>
    <dxf>
      <font>
        <b val="0"/>
        <i val="0"/>
        <strike val="0"/>
        <condense val="0"/>
        <extend val="0"/>
        <outline val="0"/>
        <shadow val="0"/>
        <u val="none"/>
        <vertAlign val="baseline"/>
        <sz val="11"/>
        <color auto="1"/>
        <name val="Times New Roman"/>
        <scheme val="none"/>
      </font>
      <numFmt numFmtId="168" formatCode="#,##0.000"/>
      <fill>
        <patternFill patternType="solid">
          <fgColor indexed="64"/>
          <bgColor rgb="FFFFFF00"/>
        </patternFill>
      </fill>
      <protection locked="0"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theme="0" tint="-0.14999847407452621"/>
        </patternFill>
      </fill>
      <alignment horizontal="general" vertical="center"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auto="1"/>
        <name val="Times New Roman"/>
        <scheme val="none"/>
      </font>
      <numFmt numFmtId="3" formatCode="#,##0"/>
      <alignment horizontal="general" vertical="center" textRotation="0" wrapText="0" indent="0" justifyLastLine="0" shrinkToFit="0" readingOrder="0"/>
      <border diagonalUp="0" diagonalDown="0" outline="0">
        <left style="medium">
          <color indexed="64"/>
        </left>
        <right/>
        <top/>
        <bottom/>
      </border>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theme="0" tint="-0.14999847407452621"/>
        </patternFill>
      </fill>
      <alignment horizontal="general" vertical="center" textRotation="0" wrapText="0" indent="0" justifyLastLine="0" shrinkToFit="0" readingOrder="0"/>
      <border diagonalUp="0" diagonalDown="0" outline="0">
        <left/>
        <right style="medium">
          <color indexed="64"/>
        </right>
        <top/>
        <bottom/>
      </border>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theme="0" tint="-0.14999847407452621"/>
        </patternFill>
      </fill>
      <protection locked="1" hidden="0"/>
    </dxf>
    <dxf>
      <font>
        <b val="0"/>
        <i val="0"/>
        <strike val="0"/>
        <condense val="0"/>
        <extend val="0"/>
        <outline val="0"/>
        <shadow val="0"/>
        <u val="none"/>
        <vertAlign val="baseline"/>
        <sz val="11"/>
        <color auto="1"/>
        <name val="Times New Roman"/>
        <scheme val="none"/>
      </font>
      <numFmt numFmtId="4" formatCode="#,##0.00"/>
      <fill>
        <patternFill patternType="none">
          <fgColor indexed="64"/>
          <bgColor indexed="65"/>
        </patternFill>
      </fill>
      <alignment horizontal="center" vertical="bottom" textRotation="0" wrapText="0" indent="0" justifyLastLine="0" shrinkToFit="0" readingOrder="0"/>
      <protection locked="1" hidden="0"/>
    </dxf>
    <dxf>
      <font>
        <b val="0"/>
        <i val="0"/>
        <strike val="0"/>
        <condense val="0"/>
        <extend val="0"/>
        <outline val="0"/>
        <shadow val="0"/>
        <u val="none"/>
        <vertAlign val="baseline"/>
        <sz val="11"/>
        <color auto="1"/>
        <name val="Times New Roman"/>
        <scheme val="none"/>
      </font>
      <numFmt numFmtId="0" formatCode="General"/>
      <fill>
        <patternFill patternType="solid">
          <fgColor indexed="64"/>
          <bgColor rgb="FFFFFF00"/>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rgb="FFFFFF99"/>
        </patternFill>
      </fill>
      <protection locked="1" hidden="0"/>
    </dxf>
    <dxf>
      <font>
        <b val="0"/>
        <i val="0"/>
        <strike val="0"/>
        <condense val="0"/>
        <extend val="0"/>
        <outline val="0"/>
        <shadow val="0"/>
        <u val="none"/>
        <vertAlign val="baseline"/>
        <sz val="11"/>
        <color auto="1"/>
        <name val="Times New Roman"/>
        <family val="1"/>
        <scheme val="none"/>
      </font>
      <numFmt numFmtId="4" formatCode="#,##0.00"/>
      <fill>
        <patternFill patternType="solid">
          <fgColor indexed="64"/>
          <bgColor rgb="FFFFFF99"/>
        </patternFill>
      </fill>
      <protection locked="0" hidden="0"/>
    </dxf>
    <dxf>
      <font>
        <b/>
        <i val="0"/>
        <strike val="0"/>
        <condense val="0"/>
        <extend val="0"/>
        <outline val="0"/>
        <shadow val="0"/>
        <u val="none"/>
        <vertAlign val="baseline"/>
        <sz val="11"/>
        <color auto="1"/>
        <name val="Times New Roman"/>
        <scheme val="none"/>
      </font>
      <numFmt numFmtId="168" formatCode="#,##0.000"/>
      <border diagonalUp="0" diagonalDown="0" outline="0">
        <left/>
        <right style="thin">
          <color indexed="64"/>
        </right>
        <top/>
        <bottom/>
      </border>
      <protection locked="1" hidden="0"/>
    </dxf>
    <dxf>
      <font>
        <b val="0"/>
        <i val="0"/>
        <strike val="0"/>
        <condense val="0"/>
        <extend val="0"/>
        <outline val="0"/>
        <shadow val="0"/>
        <u val="none"/>
        <vertAlign val="baseline"/>
        <sz val="11"/>
        <color auto="1"/>
        <name val="Times New Roman"/>
        <scheme val="none"/>
      </font>
      <numFmt numFmtId="168" formatCode="#,##0.000"/>
      <protection locked="1" hidden="0"/>
    </dxf>
    <dxf>
      <font>
        <b val="0"/>
        <i val="0"/>
        <strike val="0"/>
        <condense val="0"/>
        <extend val="0"/>
        <outline val="0"/>
        <shadow val="0"/>
        <u val="none"/>
        <vertAlign val="baseline"/>
        <sz val="11"/>
        <color auto="1"/>
        <name val="Times New Roman"/>
        <scheme val="none"/>
      </font>
      <numFmt numFmtId="168" formatCode="#,##0.000"/>
      <fill>
        <patternFill patternType="solid">
          <fgColor indexed="64"/>
          <bgColor rgb="FFFFFF00"/>
        </patternFill>
      </fill>
      <protection locked="0" hidden="0"/>
    </dxf>
    <dxf>
      <font>
        <b val="0"/>
        <i val="0"/>
        <strike val="0"/>
        <condense val="0"/>
        <extend val="0"/>
        <outline val="0"/>
        <shadow val="0"/>
        <u val="none"/>
        <vertAlign val="baseline"/>
        <sz val="11"/>
        <color auto="1"/>
        <name val="Times New Roman"/>
        <scheme val="none"/>
      </font>
      <fill>
        <patternFill patternType="solid">
          <fgColor indexed="64"/>
          <bgColor indexed="13"/>
        </patternFill>
      </fill>
      <alignment horizontal="center" vertical="center" textRotation="0" wrapText="0" indent="0" justifyLastLine="0" shrinkToFit="0" readingOrder="0"/>
      <protection locked="0" hidden="0"/>
    </dxf>
    <dxf>
      <font>
        <b/>
        <i val="0"/>
        <strike val="0"/>
        <condense val="0"/>
        <extend val="0"/>
        <outline val="0"/>
        <shadow val="0"/>
        <u val="none"/>
        <vertAlign val="baseline"/>
        <sz val="11"/>
        <color auto="1"/>
        <name val="Times New Roman"/>
        <scheme val="none"/>
      </font>
      <numFmt numFmtId="3" formatCode="#,##0"/>
      <fill>
        <patternFill patternType="none">
          <fgColor indexed="64"/>
          <bgColor indexed="65"/>
        </patternFill>
      </fill>
      <alignment horizontal="general" vertical="center"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auto="1"/>
        <name val="Times New Roman"/>
        <scheme val="none"/>
      </font>
      <numFmt numFmtId="3" formatCode="#,##0"/>
      <fill>
        <patternFill patternType="solid">
          <fgColor indexed="64"/>
          <bgColor indexed="13"/>
        </patternFill>
      </fill>
      <protection locked="1" hidden="0"/>
    </dxf>
    <dxf>
      <font>
        <b val="0"/>
        <i val="0"/>
        <strike val="0"/>
        <condense val="0"/>
        <extend val="0"/>
        <outline val="0"/>
        <shadow val="0"/>
        <u val="none"/>
        <vertAlign val="baseline"/>
        <sz val="11"/>
        <color auto="1"/>
        <name val="Times New Roman"/>
        <scheme val="none"/>
      </font>
      <fill>
        <patternFill patternType="solid">
          <fgColor indexed="64"/>
          <bgColor indexed="13"/>
        </patternFill>
      </fill>
      <protection locked="0" hidden="0"/>
    </dxf>
    <dxf>
      <font>
        <b val="0"/>
        <i val="0"/>
        <strike val="0"/>
        <condense val="0"/>
        <extend val="0"/>
        <outline val="0"/>
        <shadow val="0"/>
        <u val="none"/>
        <vertAlign val="baseline"/>
        <sz val="11"/>
        <color auto="1"/>
        <name val="Times New Roman"/>
        <scheme val="none"/>
      </font>
      <fill>
        <patternFill patternType="solid">
          <fgColor indexed="64"/>
          <bgColor indexed="13"/>
        </patternFill>
      </fill>
      <protection locked="0" hidden="0"/>
    </dxf>
    <dxf>
      <font>
        <b val="0"/>
        <i val="0"/>
        <strike val="0"/>
        <condense val="0"/>
        <extend val="0"/>
        <outline val="0"/>
        <shadow val="0"/>
        <u val="none"/>
        <vertAlign val="baseline"/>
        <sz val="11"/>
        <color auto="1"/>
        <name val="Times New Roman"/>
        <scheme val="none"/>
      </font>
      <fill>
        <patternFill patternType="solid">
          <fgColor indexed="64"/>
          <bgColor indexed="13"/>
        </patternFill>
      </fill>
      <border diagonalUp="0" diagonalDown="0" outline="0">
        <left style="medium">
          <color rgb="FF000000"/>
        </left>
        <right/>
        <top/>
        <bottom/>
      </border>
      <protection locked="1" hidden="0"/>
    </dxf>
    <dxf>
      <border outline="0">
        <top style="medium">
          <color indexed="64"/>
        </top>
        <bottom style="medium">
          <color indexed="64"/>
        </bottom>
      </border>
    </dxf>
    <dxf>
      <protection locked="1" hidden="0"/>
    </dxf>
    <dxf>
      <border>
        <bottom style="medium">
          <color indexed="64"/>
        </bottom>
      </border>
    </dxf>
    <dxf>
      <font>
        <b val="0"/>
        <i val="0"/>
        <strike val="0"/>
        <condense val="0"/>
        <extend val="0"/>
        <outline val="0"/>
        <shadow val="0"/>
        <u val="none"/>
        <vertAlign val="baseline"/>
        <sz val="11"/>
        <color auto="1"/>
        <name val="Times New Roman"/>
        <scheme val="none"/>
      </font>
      <fill>
        <patternFill patternType="solid">
          <fgColor indexed="64"/>
          <bgColor theme="0" tint="-0.14999847407452621"/>
        </patternFill>
      </fill>
      <alignment horizontal="center" vertical="bottom" textRotation="0" wrapText="1" indent="0" justifyLastLine="0" shrinkToFit="0" readingOrder="0"/>
      <border diagonalUp="0" diagonalDown="0" outline="0">
        <left/>
        <right/>
        <top/>
        <bottom/>
      </border>
      <protection locked="1" hidden="0"/>
    </dxf>
    <dxf>
      <fill>
        <patternFill>
          <bgColor rgb="FFFF0000"/>
        </patternFill>
      </fill>
    </dxf>
    <dxf>
      <fill>
        <patternFill>
          <bgColor rgb="FFFF0000"/>
        </patternFill>
      </fill>
    </dxf>
    <dxf>
      <fill>
        <patternFill>
          <bgColor theme="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3" tint="0.79998168889431442"/>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3" tint="0.79998168889431442"/>
        </patternFill>
      </fill>
    </dxf>
    <dxf>
      <fill>
        <patternFill>
          <bgColor theme="3" tint="0.79998168889431442"/>
        </patternFill>
      </fill>
    </dxf>
    <dxf>
      <fill>
        <patternFill>
          <bgColor indexed="10"/>
        </patternFill>
      </fill>
    </dxf>
    <dxf>
      <fill>
        <patternFill>
          <bgColor indexed="1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1"/>
        </patternFill>
      </fill>
    </dxf>
    <dxf>
      <fill>
        <patternFill>
          <bgColor rgb="FFFF0000"/>
        </patternFill>
      </fill>
    </dxf>
    <dxf>
      <fill>
        <patternFill>
          <bgColor rgb="FFFF0000"/>
        </patternFill>
      </fill>
    </dxf>
    <dxf>
      <fill>
        <patternFill>
          <bgColor rgb="FFFF0000"/>
        </patternFill>
      </fill>
    </dxf>
    <dxf>
      <fill>
        <patternFill>
          <bgColor rgb="FFCCFFCC"/>
        </patternFill>
      </fill>
    </dxf>
    <dxf>
      <fill>
        <patternFill>
          <bgColor rgb="FFFF0000"/>
        </patternFill>
      </fill>
    </dxf>
    <dxf>
      <font>
        <b val="0"/>
        <i val="0"/>
        <strike val="0"/>
        <condense val="0"/>
        <extend val="0"/>
        <outline val="0"/>
        <shadow val="0"/>
        <u val="none"/>
        <vertAlign val="baseline"/>
        <sz val="11"/>
        <color auto="1"/>
        <name val="Times New Roman"/>
        <scheme val="none"/>
      </font>
      <numFmt numFmtId="4" formatCode="#,##0.00"/>
      <fill>
        <patternFill patternType="solid">
          <fgColor indexed="64"/>
          <bgColor theme="0" tint="-0.14996795556505021"/>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indexed="8"/>
        </patternFill>
      </fill>
      <alignment horizontal="general" vertical="center"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theme="0" tint="-0.14999847407452621"/>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theme="0" tint="-0.14996795556505021"/>
        </patternFill>
      </fill>
      <alignment horizontal="general" vertical="center" textRotation="0" wrapText="0" indent="0" justifyLastLine="0" shrinkToFit="0" readingOrder="0"/>
      <border diagonalUp="0" diagonalDown="0" outline="0">
        <left/>
        <right style="medium">
          <color indexed="64"/>
        </right>
        <top/>
        <bottom/>
      </border>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indexed="8"/>
        </patternFill>
      </fill>
      <alignment horizontal="general" vertical="center"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theme="0" tint="-0.14999847407452621"/>
        </patternFill>
      </fill>
      <alignment horizontal="general" vertical="center" textRotation="0" wrapText="0" indent="0" justifyLastLine="0" shrinkToFit="0" readingOrder="0"/>
      <protection locked="1" hidden="0"/>
    </dxf>
    <dxf>
      <font>
        <b/>
        <i val="0"/>
        <strike val="0"/>
        <condense val="0"/>
        <extend val="0"/>
        <outline val="0"/>
        <shadow val="0"/>
        <u val="none"/>
        <vertAlign val="baseline"/>
        <sz val="11"/>
        <color auto="1"/>
        <name val="Times New Roman"/>
        <scheme val="none"/>
      </font>
      <numFmt numFmtId="4" formatCode="#,##0.00"/>
      <fill>
        <patternFill patternType="solid">
          <fgColor indexed="64"/>
          <bgColor theme="1"/>
        </patternFill>
      </fill>
      <alignment horizontal="general" vertical="center" textRotation="0" wrapText="0" indent="0" justifyLastLine="0" shrinkToFit="0" readingOrder="0"/>
      <border diagonalUp="0" diagonalDown="0" outline="0">
        <left/>
        <right style="medium">
          <color indexed="64"/>
        </right>
        <top/>
        <bottom/>
      </border>
      <protection locked="1" hidden="0"/>
    </dxf>
    <dxf>
      <font>
        <b/>
        <i val="0"/>
        <strike val="0"/>
        <condense val="0"/>
        <extend val="0"/>
        <outline val="0"/>
        <shadow val="0"/>
        <u val="none"/>
        <vertAlign val="baseline"/>
        <sz val="11"/>
        <color auto="1"/>
        <name val="Times New Roman"/>
        <scheme val="none"/>
      </font>
      <numFmt numFmtId="4" formatCode="#,##0.00"/>
      <fill>
        <patternFill patternType="solid">
          <fgColor indexed="64"/>
          <bgColor theme="0" tint="-0.14999847407452621"/>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rgb="FFFFFF00"/>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theme="1"/>
        </patternFill>
      </fill>
      <alignment horizontal="general" vertical="center"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auto="1"/>
        <name val="Times New Roman"/>
        <scheme val="none"/>
      </font>
      <numFmt numFmtId="168" formatCode="#,##0.000"/>
      <fill>
        <patternFill patternType="none">
          <fgColor indexed="64"/>
          <bgColor indexed="65"/>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1"/>
        <color auto="1"/>
        <name val="Times New Roman"/>
        <scheme val="none"/>
      </font>
      <numFmt numFmtId="168" formatCode="#,##0.000"/>
      <fill>
        <patternFill patternType="none">
          <fgColor indexed="64"/>
          <bgColor indexed="65"/>
        </patternFill>
      </fill>
      <alignment horizontal="general" vertical="center"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auto="1"/>
        <name val="Times New Roman"/>
        <scheme val="none"/>
      </font>
      <numFmt numFmtId="168" formatCode="#,##0.000"/>
      <fill>
        <patternFill patternType="none">
          <fgColor indexed="64"/>
          <bgColor indexed="65"/>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theme="1"/>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theme="0" tint="-0.14999847407452621"/>
        </patternFill>
      </fill>
      <alignment horizontal="general" vertical="center"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auto="1"/>
        <name val="Times New Roman"/>
        <scheme val="none"/>
      </font>
      <numFmt numFmtId="3" formatCode="#,##0"/>
      <fill>
        <patternFill patternType="none">
          <fgColor indexed="64"/>
          <bgColor indexed="65"/>
        </patternFill>
      </fill>
      <alignment horizontal="general" vertical="center" textRotation="0" wrapText="0" indent="0" justifyLastLine="0" shrinkToFit="0" readingOrder="0"/>
      <border diagonalUp="0" diagonalDown="0" outline="0">
        <left style="medium">
          <color indexed="64"/>
        </left>
        <right/>
        <top/>
        <bottom/>
      </border>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indexed="8"/>
        </patternFill>
      </fill>
      <alignment horizontal="general" vertical="center" textRotation="0" wrapText="0" indent="0" justifyLastLine="0" shrinkToFit="0" readingOrder="0"/>
      <border diagonalUp="0" diagonalDown="0" outline="0">
        <left/>
        <right style="medium">
          <color indexed="64"/>
        </right>
        <top/>
        <bottom/>
      </border>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theme="0" tint="-0.14999847407452621"/>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1"/>
        <color auto="1"/>
        <name val="Times New Roman"/>
        <scheme val="none"/>
      </font>
      <numFmt numFmtId="4" formatCode="#,##0.00"/>
      <alignment horizontal="center" vertical="bottom" textRotation="0" wrapText="0" indent="0" justifyLastLine="0" shrinkToFit="0" readingOrder="0"/>
      <protection locked="1" hidden="0"/>
    </dxf>
    <dxf>
      <font>
        <b val="0"/>
        <i val="0"/>
        <strike val="0"/>
        <condense val="0"/>
        <extend val="0"/>
        <outline val="0"/>
        <shadow val="0"/>
        <u val="none"/>
        <vertAlign val="baseline"/>
        <sz val="11"/>
        <color auto="1"/>
        <name val="Times New Roman"/>
        <scheme val="none"/>
      </font>
      <numFmt numFmtId="3" formatCode="#,##0"/>
      <fill>
        <patternFill patternType="solid">
          <fgColor indexed="64"/>
          <bgColor rgb="FFFFFF00"/>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rgb="FFFFFF99"/>
        </patternFill>
      </fill>
      <protection locked="1" hidden="0"/>
    </dxf>
    <dxf>
      <font>
        <b val="0"/>
        <i val="0"/>
        <strike val="0"/>
        <condense val="0"/>
        <extend val="0"/>
        <outline val="0"/>
        <shadow val="0"/>
        <u val="none"/>
        <vertAlign val="baseline"/>
        <sz val="11"/>
        <color auto="1"/>
        <name val="Times New Roman"/>
        <family val="1"/>
        <scheme val="none"/>
      </font>
      <numFmt numFmtId="4" formatCode="#,##0.00"/>
      <fill>
        <patternFill patternType="solid">
          <fgColor indexed="64"/>
          <bgColor rgb="FFFFFF99"/>
        </patternFill>
      </fill>
      <protection locked="0" hidden="0"/>
    </dxf>
    <dxf>
      <font>
        <b/>
        <i val="0"/>
        <strike val="0"/>
        <condense val="0"/>
        <extend val="0"/>
        <outline val="0"/>
        <shadow val="0"/>
        <u val="none"/>
        <vertAlign val="baseline"/>
        <sz val="11"/>
        <color auto="1"/>
        <name val="Times New Roman"/>
        <scheme val="none"/>
      </font>
      <numFmt numFmtId="168" formatCode="#,##0.000"/>
      <border diagonalUp="0" diagonalDown="0" outline="0">
        <left/>
        <right style="thin">
          <color indexed="64"/>
        </right>
        <top/>
        <bottom/>
      </border>
      <protection locked="1" hidden="0"/>
    </dxf>
    <dxf>
      <font>
        <b val="0"/>
        <i val="0"/>
        <strike val="0"/>
        <condense val="0"/>
        <extend val="0"/>
        <outline val="0"/>
        <shadow val="0"/>
        <u val="none"/>
        <vertAlign val="baseline"/>
        <sz val="11"/>
        <color auto="1"/>
        <name val="Times New Roman"/>
        <scheme val="none"/>
      </font>
      <numFmt numFmtId="168" formatCode="#,##0.000"/>
      <protection locked="1" hidden="0"/>
    </dxf>
    <dxf>
      <font>
        <b val="0"/>
        <i val="0"/>
        <strike val="0"/>
        <condense val="0"/>
        <extend val="0"/>
        <outline val="0"/>
        <shadow val="0"/>
        <u val="none"/>
        <vertAlign val="baseline"/>
        <sz val="11"/>
        <color auto="1"/>
        <name val="Times New Roman"/>
        <scheme val="none"/>
      </font>
      <numFmt numFmtId="168" formatCode="#,##0.000"/>
      <fill>
        <patternFill patternType="solid">
          <fgColor indexed="64"/>
          <bgColor theme="1"/>
        </patternFill>
      </fill>
      <protection locked="1" hidden="0"/>
    </dxf>
    <dxf>
      <font>
        <b val="0"/>
        <i val="0"/>
        <strike val="0"/>
        <condense val="0"/>
        <extend val="0"/>
        <outline val="0"/>
        <shadow val="0"/>
        <u val="none"/>
        <vertAlign val="baseline"/>
        <sz val="11"/>
        <color auto="1"/>
        <name val="Times New Roman"/>
        <scheme val="none"/>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top/>
        <bottom/>
      </border>
      <protection locked="1" hidden="0"/>
    </dxf>
    <dxf>
      <font>
        <b/>
        <i val="0"/>
        <strike val="0"/>
        <condense val="0"/>
        <extend val="0"/>
        <outline val="0"/>
        <shadow val="0"/>
        <u val="none"/>
        <vertAlign val="baseline"/>
        <sz val="11"/>
        <color auto="1"/>
        <name val="Times New Roman"/>
        <scheme val="none"/>
      </font>
      <numFmt numFmtId="3" formatCode="#,##0"/>
      <fill>
        <patternFill patternType="none">
          <fgColor indexed="64"/>
          <bgColor indexed="65"/>
        </patternFill>
      </fill>
      <alignment horizontal="general" vertical="center"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auto="1"/>
        <name val="Times New Roman"/>
        <scheme val="none"/>
      </font>
      <numFmt numFmtId="3" formatCode="#,##0"/>
      <fill>
        <patternFill patternType="solid">
          <fgColor indexed="64"/>
          <bgColor indexed="13"/>
        </patternFill>
      </fill>
      <protection locked="1" hidden="0"/>
    </dxf>
    <dxf>
      <font>
        <strike val="0"/>
        <outline val="0"/>
        <shadow val="0"/>
        <u val="none"/>
        <vertAlign val="baseline"/>
        <sz val="11"/>
        <color theme="1"/>
        <name val="Times New Roman"/>
        <scheme val="none"/>
      </font>
      <fill>
        <patternFill patternType="solid">
          <fgColor indexed="64"/>
          <bgColor rgb="FFFFFF00"/>
        </patternFill>
      </fill>
      <alignment horizontal="right" vertical="bottom" textRotation="0" wrapText="0" indent="0" justifyLastLine="0" shrinkToFit="0" readingOrder="0"/>
      <protection locked="1" hidden="0"/>
    </dxf>
    <dxf>
      <font>
        <b val="0"/>
        <i val="0"/>
        <strike val="0"/>
        <condense val="0"/>
        <extend val="0"/>
        <outline val="0"/>
        <shadow val="0"/>
        <u val="none"/>
        <vertAlign val="baseline"/>
        <sz val="11"/>
        <color auto="1"/>
        <name val="Times New Roman"/>
        <scheme val="none"/>
      </font>
      <fill>
        <patternFill patternType="solid">
          <fgColor indexed="64"/>
          <bgColor indexed="13"/>
        </patternFill>
      </fill>
      <protection locked="0" hidden="0"/>
    </dxf>
    <dxf>
      <font>
        <b val="0"/>
        <i val="0"/>
        <strike val="0"/>
        <condense val="0"/>
        <extend val="0"/>
        <outline val="0"/>
        <shadow val="0"/>
        <u val="none"/>
        <vertAlign val="baseline"/>
        <sz val="11"/>
        <color auto="1"/>
        <name val="Times New Roman"/>
        <scheme val="none"/>
      </font>
      <fill>
        <patternFill patternType="solid">
          <fgColor indexed="64"/>
          <bgColor rgb="FFFFFF00"/>
        </patternFill>
      </fill>
      <alignment horizontal="center" vertical="bottom" textRotation="0" wrapText="0" indent="0" justifyLastLine="0" shrinkToFit="0" readingOrder="0"/>
      <protection locked="1" hidden="0"/>
    </dxf>
    <dxf>
      <border outline="0">
        <left style="medium">
          <color indexed="64"/>
        </left>
        <right style="medium">
          <color indexed="64"/>
        </right>
        <top style="medium">
          <color indexed="64"/>
        </top>
        <bottom style="medium">
          <color indexed="64"/>
        </bottom>
      </border>
    </dxf>
    <dxf>
      <protection locked="1" hidden="0"/>
    </dxf>
    <dxf>
      <border>
        <bottom style="medium">
          <color indexed="64"/>
        </bottom>
      </border>
    </dxf>
    <dxf>
      <font>
        <b val="0"/>
        <i val="0"/>
        <strike val="0"/>
        <condense val="0"/>
        <extend val="0"/>
        <outline val="0"/>
        <shadow val="0"/>
        <u val="none"/>
        <vertAlign val="baseline"/>
        <sz val="11"/>
        <color auto="1"/>
        <name val="Times New Roman"/>
        <scheme val="none"/>
      </font>
      <fill>
        <patternFill patternType="solid">
          <fgColor indexed="64"/>
          <bgColor theme="0" tint="-0.14999847407452621"/>
        </patternFill>
      </fill>
      <alignment horizontal="center" vertical="bottom"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theme="0" tint="-0.14999847407452621"/>
        </patternFill>
      </fill>
      <alignment horizontal="general" vertical="center" textRotation="0" wrapText="0" indent="0" justifyLastLine="0" shrinkToFit="0" readingOrder="0"/>
      <border diagonalUp="0" diagonalDown="0" outline="0">
        <left/>
        <right style="medium">
          <color rgb="FF000000"/>
        </right>
        <top/>
        <bottom/>
      </border>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theme="0" tint="-0.14999847407452621"/>
        </patternFill>
      </fill>
      <alignment horizontal="general" vertical="center"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theme="0" tint="-0.14999847407452621"/>
        </patternFill>
      </fill>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theme="0" tint="-0.14999847407452621"/>
        </patternFill>
      </fill>
      <alignment horizontal="general" vertical="center" textRotation="0" wrapText="0" indent="0" justifyLastLine="0" shrinkToFit="0" readingOrder="0"/>
      <border diagonalUp="0" diagonalDown="0" outline="0">
        <left style="thin">
          <color indexed="64"/>
        </left>
        <right style="medium">
          <color indexed="64"/>
        </right>
        <top/>
        <bottom/>
      </border>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theme="0" tint="-0.14999847407452621"/>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theme="0" tint="-0.14999847407452621"/>
        </patternFill>
      </fill>
      <protection locked="1" hidden="0"/>
    </dxf>
    <dxf>
      <font>
        <b/>
        <i val="0"/>
        <strike val="0"/>
        <condense val="0"/>
        <extend val="0"/>
        <outline val="0"/>
        <shadow val="0"/>
        <u val="none"/>
        <vertAlign val="baseline"/>
        <sz val="11"/>
        <color auto="1"/>
        <name val="Times New Roman"/>
        <scheme val="none"/>
      </font>
      <numFmt numFmtId="4" formatCode="#,##0.00"/>
      <fill>
        <patternFill patternType="solid">
          <fgColor indexed="64"/>
          <bgColor theme="0" tint="-0.14999847407452621"/>
        </patternFill>
      </fill>
      <alignment horizontal="general" vertical="center" textRotation="0" wrapText="0" indent="0" justifyLastLine="0" shrinkToFit="0" readingOrder="0"/>
      <border diagonalUp="0" diagonalDown="0" outline="0">
        <left/>
        <right style="medium">
          <color indexed="64"/>
        </right>
        <top/>
        <bottom/>
      </border>
      <protection locked="1" hidden="0"/>
    </dxf>
    <dxf>
      <font>
        <b/>
        <i val="0"/>
        <strike val="0"/>
        <condense val="0"/>
        <extend val="0"/>
        <outline val="0"/>
        <shadow val="0"/>
        <u val="none"/>
        <vertAlign val="baseline"/>
        <sz val="11"/>
        <color auto="1"/>
        <name val="Times New Roman"/>
        <scheme val="none"/>
      </font>
      <numFmt numFmtId="4" formatCode="#,##0.00"/>
      <fill>
        <patternFill patternType="solid">
          <fgColor indexed="64"/>
          <bgColor theme="0" tint="-0.14999847407452621"/>
        </patternFill>
      </fill>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rgb="FFFFFF00"/>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theme="0" tint="-0.14999847407452621"/>
        </patternFill>
      </fill>
      <alignment horizontal="general" vertical="center"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auto="1"/>
        <name val="Times New Roman"/>
        <scheme val="none"/>
      </font>
      <numFmt numFmtId="168" formatCode="#,##0.000"/>
      <alignment horizontal="general" vertical="center" textRotation="0" wrapText="0" indent="0" justifyLastLine="0" shrinkToFit="0" readingOrder="0"/>
      <protection locked="1" hidden="0"/>
    </dxf>
    <dxf>
      <font>
        <b val="0"/>
        <i val="0"/>
        <strike val="0"/>
        <condense val="0"/>
        <extend val="0"/>
        <outline val="0"/>
        <shadow val="0"/>
        <u val="none"/>
        <vertAlign val="baseline"/>
        <sz val="11"/>
        <color auto="1"/>
        <name val="Times New Roman"/>
        <scheme val="none"/>
      </font>
      <numFmt numFmtId="168" formatCode="#,##0.000"/>
      <alignment horizontal="general" vertical="center" textRotation="0" wrapText="0" indent="0" justifyLastLine="0" shrinkToFit="0" readingOrder="0"/>
      <border diagonalUp="0" diagonalDown="0">
        <left/>
        <right style="thin">
          <color indexed="64"/>
        </right>
        <top/>
        <bottom/>
      </border>
      <protection locked="1" hidden="0"/>
    </dxf>
    <dxf>
      <font>
        <b val="0"/>
        <i val="0"/>
        <strike val="0"/>
        <condense val="0"/>
        <extend val="0"/>
        <outline val="0"/>
        <shadow val="0"/>
        <u val="none"/>
        <vertAlign val="baseline"/>
        <sz val="11"/>
        <color auto="1"/>
        <name val="Times New Roman"/>
        <scheme val="none"/>
      </font>
      <numFmt numFmtId="168" formatCode="#,##0.000"/>
      <fill>
        <patternFill patternType="none">
          <fgColor indexed="64"/>
          <bgColor indexed="65"/>
        </patternFill>
      </fill>
      <protection locked="1" hidden="0"/>
    </dxf>
    <dxf>
      <font>
        <b val="0"/>
        <i val="0"/>
        <strike val="0"/>
        <condense val="0"/>
        <extend val="0"/>
        <outline val="0"/>
        <shadow val="0"/>
        <u val="none"/>
        <vertAlign val="baseline"/>
        <sz val="11"/>
        <color auto="1"/>
        <name val="Times New Roman"/>
        <scheme val="none"/>
      </font>
      <numFmt numFmtId="168" formatCode="#,##0.000"/>
      <fill>
        <patternFill patternType="solid">
          <fgColor indexed="64"/>
          <bgColor rgb="FFFFFF00"/>
        </patternFill>
      </fill>
      <protection locked="0"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theme="0" tint="-0.14999847407452621"/>
        </patternFill>
      </fill>
      <alignment horizontal="general" vertical="center"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auto="1"/>
        <name val="Times New Roman"/>
        <scheme val="none"/>
      </font>
      <numFmt numFmtId="3" formatCode="#,##0"/>
      <alignment horizontal="general" vertical="center" textRotation="0" wrapText="0" indent="0" justifyLastLine="0" shrinkToFit="0" readingOrder="0"/>
      <border diagonalUp="0" diagonalDown="0" outline="0">
        <left style="medium">
          <color indexed="64"/>
        </left>
        <right/>
        <top/>
        <bottom/>
      </border>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theme="0" tint="-0.14999847407452621"/>
        </patternFill>
      </fill>
      <alignment horizontal="general" vertical="center" textRotation="0" wrapText="0" indent="0" justifyLastLine="0" shrinkToFit="0" readingOrder="0"/>
      <border diagonalUp="0" diagonalDown="0" outline="0">
        <left/>
        <right style="medium">
          <color indexed="64"/>
        </right>
        <top/>
        <bottom/>
      </border>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theme="0" tint="-0.14999847407452621"/>
        </patternFill>
      </fill>
      <protection locked="1" hidden="0"/>
    </dxf>
    <dxf>
      <font>
        <b val="0"/>
        <i val="0"/>
        <strike val="0"/>
        <condense val="0"/>
        <extend val="0"/>
        <outline val="0"/>
        <shadow val="0"/>
        <u val="none"/>
        <vertAlign val="baseline"/>
        <sz val="11"/>
        <color auto="1"/>
        <name val="Times New Roman"/>
        <scheme val="none"/>
      </font>
      <numFmt numFmtId="4" formatCode="#,##0.00"/>
      <fill>
        <patternFill patternType="none">
          <fgColor indexed="64"/>
          <bgColor indexed="65"/>
        </patternFill>
      </fill>
      <alignment horizontal="center" vertical="bottom" textRotation="0" wrapText="0" indent="0" justifyLastLine="0" shrinkToFit="0" readingOrder="0"/>
      <protection locked="1" hidden="0"/>
    </dxf>
    <dxf>
      <font>
        <b val="0"/>
        <i val="0"/>
        <strike val="0"/>
        <condense val="0"/>
        <extend val="0"/>
        <outline val="0"/>
        <shadow val="0"/>
        <u val="none"/>
        <vertAlign val="baseline"/>
        <sz val="11"/>
        <color auto="1"/>
        <name val="Times New Roman"/>
        <scheme val="none"/>
      </font>
      <numFmt numFmtId="0" formatCode="General"/>
      <fill>
        <patternFill patternType="solid">
          <fgColor indexed="64"/>
          <bgColor rgb="FFFFFF00"/>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rgb="FFFFFF99"/>
        </patternFill>
      </fill>
      <protection locked="1" hidden="0"/>
    </dxf>
    <dxf>
      <font>
        <b val="0"/>
        <i val="0"/>
        <strike val="0"/>
        <condense val="0"/>
        <extend val="0"/>
        <outline val="0"/>
        <shadow val="0"/>
        <u val="none"/>
        <vertAlign val="baseline"/>
        <sz val="11"/>
        <color auto="1"/>
        <name val="Times New Roman"/>
        <family val="1"/>
        <scheme val="none"/>
      </font>
      <numFmt numFmtId="4" formatCode="#,##0.00"/>
      <fill>
        <patternFill patternType="solid">
          <fgColor indexed="64"/>
          <bgColor rgb="FFFFFF99"/>
        </patternFill>
      </fill>
      <protection locked="0" hidden="0"/>
    </dxf>
    <dxf>
      <font>
        <b/>
        <i val="0"/>
        <strike val="0"/>
        <condense val="0"/>
        <extend val="0"/>
        <outline val="0"/>
        <shadow val="0"/>
        <u val="none"/>
        <vertAlign val="baseline"/>
        <sz val="11"/>
        <color auto="1"/>
        <name val="Times New Roman"/>
        <scheme val="none"/>
      </font>
      <numFmt numFmtId="168" formatCode="#,##0.000"/>
      <border diagonalUp="0" diagonalDown="0" outline="0">
        <left/>
        <right style="thin">
          <color indexed="64"/>
        </right>
        <top/>
        <bottom/>
      </border>
      <protection locked="1" hidden="0"/>
    </dxf>
    <dxf>
      <font>
        <b val="0"/>
        <i val="0"/>
        <strike val="0"/>
        <condense val="0"/>
        <extend val="0"/>
        <outline val="0"/>
        <shadow val="0"/>
        <u val="none"/>
        <vertAlign val="baseline"/>
        <sz val="11"/>
        <color auto="1"/>
        <name val="Times New Roman"/>
        <scheme val="none"/>
      </font>
      <numFmt numFmtId="168" formatCode="#,##0.000"/>
      <protection locked="1" hidden="0"/>
    </dxf>
    <dxf>
      <font>
        <b val="0"/>
        <i val="0"/>
        <strike val="0"/>
        <condense val="0"/>
        <extend val="0"/>
        <outline val="0"/>
        <shadow val="0"/>
        <u val="none"/>
        <vertAlign val="baseline"/>
        <sz val="11"/>
        <color auto="1"/>
        <name val="Times New Roman"/>
        <scheme val="none"/>
      </font>
      <numFmt numFmtId="168" formatCode="#,##0.000"/>
      <fill>
        <patternFill patternType="solid">
          <fgColor indexed="64"/>
          <bgColor rgb="FFFFFF00"/>
        </patternFill>
      </fill>
      <protection locked="0" hidden="0"/>
    </dxf>
    <dxf>
      <font>
        <b val="0"/>
        <i val="0"/>
        <strike val="0"/>
        <condense val="0"/>
        <extend val="0"/>
        <outline val="0"/>
        <shadow val="0"/>
        <u val="none"/>
        <vertAlign val="baseline"/>
        <sz val="11"/>
        <color auto="1"/>
        <name val="Times New Roman"/>
        <scheme val="none"/>
      </font>
      <fill>
        <patternFill patternType="solid">
          <fgColor indexed="64"/>
          <bgColor indexed="13"/>
        </patternFill>
      </fill>
      <alignment horizontal="center" vertical="center" textRotation="0" wrapText="0" indent="0" justifyLastLine="0" shrinkToFit="0" readingOrder="0"/>
      <protection locked="0" hidden="0"/>
    </dxf>
    <dxf>
      <font>
        <b/>
        <i val="0"/>
        <strike val="0"/>
        <condense val="0"/>
        <extend val="0"/>
        <outline val="0"/>
        <shadow val="0"/>
        <u val="none"/>
        <vertAlign val="baseline"/>
        <sz val="11"/>
        <color auto="1"/>
        <name val="Times New Roman"/>
        <scheme val="none"/>
      </font>
      <numFmt numFmtId="3" formatCode="#,##0"/>
      <fill>
        <patternFill patternType="none">
          <fgColor indexed="64"/>
          <bgColor indexed="65"/>
        </patternFill>
      </fill>
      <alignment horizontal="general" vertical="center"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auto="1"/>
        <name val="Times New Roman"/>
        <scheme val="none"/>
      </font>
      <numFmt numFmtId="3" formatCode="#,##0"/>
      <fill>
        <patternFill patternType="solid">
          <fgColor indexed="64"/>
          <bgColor indexed="13"/>
        </patternFill>
      </fill>
      <protection locked="1" hidden="0"/>
    </dxf>
    <dxf>
      <font>
        <b val="0"/>
        <i val="0"/>
        <strike val="0"/>
        <condense val="0"/>
        <extend val="0"/>
        <outline val="0"/>
        <shadow val="0"/>
        <u val="none"/>
        <vertAlign val="baseline"/>
        <sz val="11"/>
        <color auto="1"/>
        <name val="Times New Roman"/>
        <scheme val="none"/>
      </font>
      <fill>
        <patternFill patternType="solid">
          <fgColor indexed="64"/>
          <bgColor indexed="13"/>
        </patternFill>
      </fill>
      <protection locked="0" hidden="0"/>
    </dxf>
    <dxf>
      <font>
        <b val="0"/>
        <i val="0"/>
        <strike val="0"/>
        <condense val="0"/>
        <extend val="0"/>
        <outline val="0"/>
        <shadow val="0"/>
        <u val="none"/>
        <vertAlign val="baseline"/>
        <sz val="11"/>
        <color auto="1"/>
        <name val="Times New Roman"/>
        <scheme val="none"/>
      </font>
      <fill>
        <patternFill patternType="solid">
          <fgColor indexed="64"/>
          <bgColor indexed="13"/>
        </patternFill>
      </fill>
      <protection locked="0" hidden="0"/>
    </dxf>
    <dxf>
      <font>
        <b val="0"/>
        <i val="0"/>
        <strike val="0"/>
        <condense val="0"/>
        <extend val="0"/>
        <outline val="0"/>
        <shadow val="0"/>
        <u val="none"/>
        <vertAlign val="baseline"/>
        <sz val="11"/>
        <color auto="1"/>
        <name val="Times New Roman"/>
        <scheme val="none"/>
      </font>
      <fill>
        <patternFill patternType="solid">
          <fgColor indexed="64"/>
          <bgColor indexed="13"/>
        </patternFill>
      </fill>
      <border diagonalUp="0" diagonalDown="0" outline="0">
        <left style="medium">
          <color rgb="FF000000"/>
        </left>
        <right/>
        <top/>
        <bottom/>
      </border>
      <protection locked="1" hidden="0"/>
    </dxf>
    <dxf>
      <border outline="0">
        <top style="medium">
          <color indexed="64"/>
        </top>
        <bottom style="medium">
          <color indexed="64"/>
        </bottom>
      </border>
    </dxf>
    <dxf>
      <protection locked="1" hidden="0"/>
    </dxf>
    <dxf>
      <border>
        <bottom style="medium">
          <color indexed="64"/>
        </bottom>
      </border>
    </dxf>
    <dxf>
      <font>
        <b val="0"/>
        <i val="0"/>
        <strike val="0"/>
        <condense val="0"/>
        <extend val="0"/>
        <outline val="0"/>
        <shadow val="0"/>
        <u val="none"/>
        <vertAlign val="baseline"/>
        <sz val="11"/>
        <color auto="1"/>
        <name val="Times New Roman"/>
        <scheme val="none"/>
      </font>
      <fill>
        <patternFill patternType="solid">
          <fgColor indexed="64"/>
          <bgColor theme="0" tint="-0.14999847407452621"/>
        </patternFill>
      </fill>
      <alignment horizontal="center" vertical="bottom" textRotation="0" wrapText="1" indent="0" justifyLastLine="0" shrinkToFit="0" readingOrder="0"/>
      <border diagonalUp="0" diagonalDown="0" outline="0">
        <left/>
        <right/>
        <top/>
        <bottom/>
      </border>
      <protection locked="1" hidden="0"/>
    </dxf>
    <dxf>
      <fill>
        <patternFill>
          <bgColor rgb="FFFF0000"/>
        </patternFill>
      </fill>
    </dxf>
    <dxf>
      <fill>
        <patternFill>
          <bgColor rgb="FFFF0000"/>
        </patternFill>
      </fill>
    </dxf>
    <dxf>
      <fill>
        <patternFill>
          <bgColor theme="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3" tint="0.79998168889431442"/>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indexed="10"/>
        </patternFill>
      </fill>
    </dxf>
    <dxf>
      <fill>
        <patternFill>
          <bgColor indexed="1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1"/>
        </patternFill>
      </fill>
    </dxf>
    <dxf>
      <fill>
        <patternFill>
          <bgColor rgb="FFFF0000"/>
        </patternFill>
      </fill>
    </dxf>
    <dxf>
      <fill>
        <patternFill>
          <bgColor rgb="FFFF0000"/>
        </patternFill>
      </fill>
    </dxf>
    <dxf>
      <fill>
        <patternFill>
          <bgColor rgb="FFFF0000"/>
        </patternFill>
      </fill>
    </dxf>
    <dxf>
      <fill>
        <patternFill>
          <bgColor rgb="FFCCFFCC"/>
        </patternFill>
      </fill>
    </dxf>
    <dxf>
      <fill>
        <patternFill>
          <bgColor rgb="FFFF0000"/>
        </patternFill>
      </fill>
    </dxf>
    <dxf>
      <font>
        <b val="0"/>
        <i val="0"/>
        <strike val="0"/>
        <condense val="0"/>
        <extend val="0"/>
        <outline val="0"/>
        <shadow val="0"/>
        <u val="none"/>
        <vertAlign val="baseline"/>
        <sz val="11"/>
        <color auto="1"/>
        <name val="Times New Roman"/>
        <scheme val="none"/>
      </font>
      <numFmt numFmtId="4" formatCode="#,##0.00"/>
      <fill>
        <patternFill patternType="solid">
          <fgColor indexed="64"/>
          <bgColor theme="0" tint="-0.14996795556505021"/>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indexed="8"/>
        </patternFill>
      </fill>
      <alignment horizontal="general" vertical="center"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theme="0" tint="-0.14999847407452621"/>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theme="0" tint="-0.14996795556505021"/>
        </patternFill>
      </fill>
      <alignment horizontal="general" vertical="center" textRotation="0" wrapText="0" indent="0" justifyLastLine="0" shrinkToFit="0" readingOrder="0"/>
      <border diagonalUp="0" diagonalDown="0" outline="0">
        <left/>
        <right style="medium">
          <color indexed="64"/>
        </right>
        <top/>
        <bottom/>
      </border>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indexed="8"/>
        </patternFill>
      </fill>
      <alignment horizontal="general" vertical="center"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theme="0" tint="-0.14999847407452621"/>
        </patternFill>
      </fill>
      <alignment horizontal="general" vertical="center" textRotation="0" wrapText="0" indent="0" justifyLastLine="0" shrinkToFit="0" readingOrder="0"/>
      <protection locked="1" hidden="0"/>
    </dxf>
    <dxf>
      <font>
        <b/>
        <i val="0"/>
        <strike val="0"/>
        <condense val="0"/>
        <extend val="0"/>
        <outline val="0"/>
        <shadow val="0"/>
        <u val="none"/>
        <vertAlign val="baseline"/>
        <sz val="11"/>
        <color auto="1"/>
        <name val="Times New Roman"/>
        <scheme val="none"/>
      </font>
      <numFmt numFmtId="4" formatCode="#,##0.00"/>
      <fill>
        <patternFill patternType="solid">
          <fgColor indexed="64"/>
          <bgColor theme="1"/>
        </patternFill>
      </fill>
      <alignment horizontal="general" vertical="center" textRotation="0" wrapText="0" indent="0" justifyLastLine="0" shrinkToFit="0" readingOrder="0"/>
      <border diagonalUp="0" diagonalDown="0" outline="0">
        <left/>
        <right style="medium">
          <color indexed="64"/>
        </right>
        <top/>
        <bottom/>
      </border>
      <protection locked="1" hidden="0"/>
    </dxf>
    <dxf>
      <font>
        <b/>
        <i val="0"/>
        <strike val="0"/>
        <condense val="0"/>
        <extend val="0"/>
        <outline val="0"/>
        <shadow val="0"/>
        <u val="none"/>
        <vertAlign val="baseline"/>
        <sz val="11"/>
        <color auto="1"/>
        <name val="Times New Roman"/>
        <scheme val="none"/>
      </font>
      <numFmt numFmtId="4" formatCode="#,##0.00"/>
      <fill>
        <patternFill patternType="solid">
          <fgColor indexed="64"/>
          <bgColor theme="0" tint="-0.14999847407452621"/>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rgb="FFFFFF00"/>
        </patternFill>
      </fill>
      <alignment horizontal="general" vertical="center" textRotation="0" wrapText="0" indent="0" justifyLastLine="0" shrinkToFit="0" readingOrder="0"/>
      <border diagonalUp="0" diagonalDown="0">
        <left/>
        <right style="thin">
          <color indexed="64"/>
        </right>
        <top/>
        <bottom/>
        <vertical/>
        <horizontal/>
      </border>
      <protection locked="0"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theme="1"/>
        </patternFill>
      </fill>
      <alignment horizontal="general" vertical="center"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auto="1"/>
        <name val="Times New Roman"/>
        <scheme val="none"/>
      </font>
      <numFmt numFmtId="168" formatCode="#,##0.000"/>
      <fill>
        <patternFill patternType="none">
          <fgColor indexed="64"/>
          <bgColor indexed="65"/>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1"/>
        <color auto="1"/>
        <name val="Times New Roman"/>
        <scheme val="none"/>
      </font>
      <numFmt numFmtId="168" formatCode="#,##0.000"/>
      <fill>
        <patternFill patternType="none">
          <fgColor indexed="64"/>
          <bgColor indexed="65"/>
        </patternFill>
      </fill>
      <alignment horizontal="general" vertical="center"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auto="1"/>
        <name val="Times New Roman"/>
        <scheme val="none"/>
      </font>
      <numFmt numFmtId="168" formatCode="#,##0.000"/>
      <fill>
        <patternFill patternType="none">
          <fgColor indexed="64"/>
          <bgColor indexed="65"/>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theme="1"/>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theme="0" tint="-0.14999847407452621"/>
        </patternFill>
      </fill>
      <alignment horizontal="general" vertical="center"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auto="1"/>
        <name val="Times New Roman"/>
        <scheme val="none"/>
      </font>
      <numFmt numFmtId="3" formatCode="#,##0"/>
      <fill>
        <patternFill patternType="none">
          <fgColor indexed="64"/>
          <bgColor indexed="65"/>
        </patternFill>
      </fill>
      <alignment horizontal="general" vertical="center" textRotation="0" wrapText="0" indent="0" justifyLastLine="0" shrinkToFit="0" readingOrder="0"/>
      <border diagonalUp="0" diagonalDown="0" outline="0">
        <left style="medium">
          <color indexed="64"/>
        </left>
        <right/>
        <top/>
        <bottom/>
      </border>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indexed="8"/>
        </patternFill>
      </fill>
      <alignment horizontal="general" vertical="center" textRotation="0" wrapText="0" indent="0" justifyLastLine="0" shrinkToFit="0" readingOrder="0"/>
      <border diagonalUp="0" diagonalDown="0" outline="0">
        <left/>
        <right style="medium">
          <color indexed="64"/>
        </right>
        <top/>
        <bottom/>
      </border>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theme="0" tint="-0.14999847407452621"/>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1"/>
        <color auto="1"/>
        <name val="Times New Roman"/>
        <scheme val="none"/>
      </font>
      <numFmt numFmtId="4" formatCode="#,##0.00"/>
      <alignment horizontal="center" vertical="bottom" textRotation="0" wrapText="0" indent="0" justifyLastLine="0" shrinkToFit="0" readingOrder="0"/>
      <protection locked="1" hidden="0"/>
    </dxf>
    <dxf>
      <font>
        <b val="0"/>
        <i val="0"/>
        <strike val="0"/>
        <condense val="0"/>
        <extend val="0"/>
        <outline val="0"/>
        <shadow val="0"/>
        <u val="none"/>
        <vertAlign val="baseline"/>
        <sz val="11"/>
        <color auto="1"/>
        <name val="Times New Roman"/>
        <scheme val="none"/>
      </font>
      <numFmt numFmtId="3" formatCode="#,##0"/>
      <fill>
        <patternFill patternType="solid">
          <fgColor indexed="64"/>
          <bgColor rgb="FFFFFF00"/>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rgb="FFFFFF99"/>
        </patternFill>
      </fill>
      <protection locked="0" hidden="0"/>
    </dxf>
    <dxf>
      <font>
        <b val="0"/>
        <i val="0"/>
        <strike val="0"/>
        <condense val="0"/>
        <extend val="0"/>
        <outline val="0"/>
        <shadow val="0"/>
        <u val="none"/>
        <vertAlign val="baseline"/>
        <sz val="11"/>
        <color auto="1"/>
        <name val="Times New Roman"/>
        <family val="1"/>
        <scheme val="none"/>
      </font>
      <numFmt numFmtId="4" formatCode="#,##0.00"/>
      <fill>
        <patternFill patternType="solid">
          <fgColor indexed="64"/>
          <bgColor rgb="FFFFFF99"/>
        </patternFill>
      </fill>
      <protection locked="0" hidden="0"/>
    </dxf>
    <dxf>
      <font>
        <b/>
        <i val="0"/>
        <strike val="0"/>
        <condense val="0"/>
        <extend val="0"/>
        <outline val="0"/>
        <shadow val="0"/>
        <u val="none"/>
        <vertAlign val="baseline"/>
        <sz val="11"/>
        <color auto="1"/>
        <name val="Times New Roman"/>
        <scheme val="none"/>
      </font>
      <numFmt numFmtId="168" formatCode="#,##0.000"/>
      <border diagonalUp="0" diagonalDown="0" outline="0">
        <left/>
        <right style="thin">
          <color indexed="64"/>
        </right>
        <top/>
        <bottom/>
      </border>
      <protection locked="1" hidden="0"/>
    </dxf>
    <dxf>
      <font>
        <b val="0"/>
        <i val="0"/>
        <strike val="0"/>
        <condense val="0"/>
        <extend val="0"/>
        <outline val="0"/>
        <shadow val="0"/>
        <u val="none"/>
        <vertAlign val="baseline"/>
        <sz val="11"/>
        <color auto="1"/>
        <name val="Times New Roman"/>
        <scheme val="none"/>
      </font>
      <numFmt numFmtId="168" formatCode="#,##0.000"/>
      <protection locked="1" hidden="0"/>
    </dxf>
    <dxf>
      <font>
        <b val="0"/>
        <i val="0"/>
        <strike val="0"/>
        <condense val="0"/>
        <extend val="0"/>
        <outline val="0"/>
        <shadow val="0"/>
        <u val="none"/>
        <vertAlign val="baseline"/>
        <sz val="11"/>
        <color auto="1"/>
        <name val="Times New Roman"/>
        <scheme val="none"/>
      </font>
      <numFmt numFmtId="168" formatCode="#,##0.000"/>
      <fill>
        <patternFill patternType="solid">
          <fgColor indexed="64"/>
          <bgColor theme="1"/>
        </patternFill>
      </fill>
      <protection locked="1" hidden="0"/>
    </dxf>
    <dxf>
      <font>
        <b val="0"/>
        <i val="0"/>
        <strike val="0"/>
        <condense val="0"/>
        <extend val="0"/>
        <outline val="0"/>
        <shadow val="0"/>
        <u val="none"/>
        <vertAlign val="baseline"/>
        <sz val="11"/>
        <color auto="1"/>
        <name val="Times New Roman"/>
        <scheme val="none"/>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top/>
        <bottom/>
      </border>
      <protection locked="1" hidden="0"/>
    </dxf>
    <dxf>
      <font>
        <b/>
        <i val="0"/>
        <strike val="0"/>
        <condense val="0"/>
        <extend val="0"/>
        <outline val="0"/>
        <shadow val="0"/>
        <u val="none"/>
        <vertAlign val="baseline"/>
        <sz val="11"/>
        <color auto="1"/>
        <name val="Times New Roman"/>
        <scheme val="none"/>
      </font>
      <numFmt numFmtId="3" formatCode="#,##0"/>
      <fill>
        <patternFill patternType="none">
          <fgColor indexed="64"/>
          <bgColor indexed="65"/>
        </patternFill>
      </fill>
      <alignment horizontal="general" vertical="center"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auto="1"/>
        <name val="Times New Roman"/>
        <scheme val="none"/>
      </font>
      <numFmt numFmtId="3" formatCode="#,##0"/>
      <fill>
        <patternFill patternType="solid">
          <fgColor indexed="64"/>
          <bgColor indexed="13"/>
        </patternFill>
      </fill>
      <protection locked="0" hidden="0"/>
    </dxf>
    <dxf>
      <font>
        <strike val="0"/>
        <outline val="0"/>
        <shadow val="0"/>
        <u val="none"/>
        <vertAlign val="baseline"/>
        <sz val="11"/>
        <color theme="1"/>
        <name val="Times New Roman"/>
        <scheme val="none"/>
      </font>
      <fill>
        <patternFill patternType="solid">
          <fgColor indexed="64"/>
          <bgColor rgb="FFFFFF00"/>
        </patternFill>
      </fill>
      <alignment horizontal="right" vertical="bottom" textRotation="0" wrapText="0" indent="0" justifyLastLine="0" shrinkToFit="0" readingOrder="0"/>
      <protection locked="0" hidden="0"/>
    </dxf>
    <dxf>
      <font>
        <b val="0"/>
        <i val="0"/>
        <strike val="0"/>
        <condense val="0"/>
        <extend val="0"/>
        <outline val="0"/>
        <shadow val="0"/>
        <u val="none"/>
        <vertAlign val="baseline"/>
        <sz val="11"/>
        <color auto="1"/>
        <name val="Times New Roman"/>
        <scheme val="none"/>
      </font>
      <fill>
        <patternFill patternType="solid">
          <fgColor indexed="64"/>
          <bgColor indexed="13"/>
        </patternFill>
      </fill>
      <protection locked="0" hidden="0"/>
    </dxf>
    <dxf>
      <font>
        <b val="0"/>
        <i val="0"/>
        <strike val="0"/>
        <condense val="0"/>
        <extend val="0"/>
        <outline val="0"/>
        <shadow val="0"/>
        <u val="none"/>
        <vertAlign val="baseline"/>
        <sz val="11"/>
        <color auto="1"/>
        <name val="Times New Roman"/>
        <scheme val="none"/>
      </font>
      <fill>
        <patternFill patternType="solid">
          <fgColor indexed="64"/>
          <bgColor rgb="FFFFFF00"/>
        </patternFill>
      </fill>
      <alignment horizontal="center" vertical="bottom" textRotation="0" wrapText="0" indent="0" justifyLastLine="0" shrinkToFit="0" readingOrder="0"/>
      <protection locked="0" hidden="0"/>
    </dxf>
    <dxf>
      <border outline="0">
        <left style="medium">
          <color indexed="64"/>
        </left>
        <right style="medium">
          <color indexed="64"/>
        </right>
        <top style="medium">
          <color indexed="64"/>
        </top>
        <bottom style="medium">
          <color indexed="64"/>
        </bottom>
      </border>
    </dxf>
    <dxf>
      <protection locked="1" hidden="0"/>
    </dxf>
    <dxf>
      <border>
        <bottom style="medium">
          <color indexed="64"/>
        </bottom>
      </border>
    </dxf>
    <dxf>
      <font>
        <b val="0"/>
        <i val="0"/>
        <strike val="0"/>
        <condense val="0"/>
        <extend val="0"/>
        <outline val="0"/>
        <shadow val="0"/>
        <u val="none"/>
        <vertAlign val="baseline"/>
        <sz val="11"/>
        <color auto="1"/>
        <name val="Times New Roman"/>
        <scheme val="none"/>
      </font>
      <fill>
        <patternFill patternType="solid">
          <fgColor indexed="64"/>
          <bgColor theme="0" tint="-0.14999847407452621"/>
        </patternFill>
      </fill>
      <alignment horizontal="center" vertical="bottom"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theme="0" tint="-0.14999847407452621"/>
        </patternFill>
      </fill>
      <alignment horizontal="general" vertical="center" textRotation="0" wrapText="0" indent="0" justifyLastLine="0" shrinkToFit="0" readingOrder="0"/>
      <border diagonalUp="0" diagonalDown="0" outline="0">
        <left/>
        <right style="medium">
          <color rgb="FF000000"/>
        </right>
        <top/>
        <bottom/>
      </border>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theme="0" tint="-0.14999847407452621"/>
        </patternFill>
      </fill>
      <alignment horizontal="general" vertical="center"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theme="0" tint="-0.14999847407452621"/>
        </patternFill>
      </fill>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theme="0" tint="-0.14999847407452621"/>
        </patternFill>
      </fill>
      <alignment horizontal="general" vertical="center" textRotation="0" wrapText="0" indent="0" justifyLastLine="0" shrinkToFit="0" readingOrder="0"/>
      <border diagonalUp="0" diagonalDown="0" outline="0">
        <left style="thin">
          <color indexed="64"/>
        </left>
        <right style="medium">
          <color indexed="64"/>
        </right>
        <top/>
        <bottom/>
      </border>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theme="0" tint="-0.14999847407452621"/>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theme="0" tint="-0.14999847407452621"/>
        </patternFill>
      </fill>
      <protection locked="1" hidden="0"/>
    </dxf>
    <dxf>
      <font>
        <b/>
        <i val="0"/>
        <strike val="0"/>
        <condense val="0"/>
        <extend val="0"/>
        <outline val="0"/>
        <shadow val="0"/>
        <u val="none"/>
        <vertAlign val="baseline"/>
        <sz val="11"/>
        <color auto="1"/>
        <name val="Times New Roman"/>
        <scheme val="none"/>
      </font>
      <numFmt numFmtId="4" formatCode="#,##0.00"/>
      <fill>
        <patternFill patternType="solid">
          <fgColor indexed="64"/>
          <bgColor theme="0" tint="-0.14999847407452621"/>
        </patternFill>
      </fill>
      <alignment horizontal="general" vertical="center" textRotation="0" wrapText="0" indent="0" justifyLastLine="0" shrinkToFit="0" readingOrder="0"/>
      <border diagonalUp="0" diagonalDown="0" outline="0">
        <left/>
        <right style="medium">
          <color indexed="64"/>
        </right>
        <top/>
        <bottom/>
      </border>
      <protection locked="1" hidden="0"/>
    </dxf>
    <dxf>
      <font>
        <b/>
        <i val="0"/>
        <strike val="0"/>
        <condense val="0"/>
        <extend val="0"/>
        <outline val="0"/>
        <shadow val="0"/>
        <u val="none"/>
        <vertAlign val="baseline"/>
        <sz val="11"/>
        <color auto="1"/>
        <name val="Times New Roman"/>
        <scheme val="none"/>
      </font>
      <numFmt numFmtId="4" formatCode="#,##0.00"/>
      <fill>
        <patternFill patternType="solid">
          <fgColor indexed="64"/>
          <bgColor theme="0" tint="-0.14999847407452621"/>
        </patternFill>
      </fill>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rgb="FFFFFF00"/>
        </patternFill>
      </fill>
      <alignment horizontal="general" vertical="center" textRotation="0" wrapText="0" indent="0" justifyLastLine="0" shrinkToFit="0" readingOrder="0"/>
      <border diagonalUp="0" diagonalDown="0">
        <left/>
        <right style="thin">
          <color indexed="64"/>
        </right>
        <top/>
        <bottom/>
        <vertical/>
        <horizontal/>
      </border>
      <protection locked="0"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theme="0" tint="-0.14999847407452621"/>
        </patternFill>
      </fill>
      <alignment horizontal="general" vertical="center"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auto="1"/>
        <name val="Times New Roman"/>
        <scheme val="none"/>
      </font>
      <numFmt numFmtId="168" formatCode="#,##0.000"/>
      <alignment horizontal="general" vertical="center" textRotation="0" wrapText="0" indent="0" justifyLastLine="0" shrinkToFit="0" readingOrder="0"/>
      <protection locked="1" hidden="0"/>
    </dxf>
    <dxf>
      <font>
        <b val="0"/>
        <i val="0"/>
        <strike val="0"/>
        <condense val="0"/>
        <extend val="0"/>
        <outline val="0"/>
        <shadow val="0"/>
        <u val="none"/>
        <vertAlign val="baseline"/>
        <sz val="11"/>
        <color auto="1"/>
        <name val="Times New Roman"/>
        <scheme val="none"/>
      </font>
      <numFmt numFmtId="168" formatCode="#,##0.000"/>
      <alignment horizontal="general" vertical="center"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auto="1"/>
        <name val="Times New Roman"/>
        <scheme val="none"/>
      </font>
      <numFmt numFmtId="168" formatCode="#,##0.000"/>
      <fill>
        <patternFill patternType="none">
          <fgColor indexed="64"/>
          <bgColor indexed="65"/>
        </patternFill>
      </fill>
      <protection locked="1" hidden="0"/>
    </dxf>
    <dxf>
      <font>
        <b val="0"/>
        <i val="0"/>
        <strike val="0"/>
        <condense val="0"/>
        <extend val="0"/>
        <outline val="0"/>
        <shadow val="0"/>
        <u val="none"/>
        <vertAlign val="baseline"/>
        <sz val="11"/>
        <color auto="1"/>
        <name val="Times New Roman"/>
        <scheme val="none"/>
      </font>
      <numFmt numFmtId="168" formatCode="#,##0.000"/>
      <fill>
        <patternFill patternType="solid">
          <fgColor indexed="64"/>
          <bgColor rgb="FFFFFF00"/>
        </patternFill>
      </fill>
      <protection locked="0"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theme="0" tint="-0.14999847407452621"/>
        </patternFill>
      </fill>
      <alignment horizontal="general" vertical="center"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auto="1"/>
        <name val="Times New Roman"/>
        <scheme val="none"/>
      </font>
      <numFmt numFmtId="3" formatCode="#,##0"/>
      <alignment horizontal="general" vertical="center" textRotation="0" wrapText="0" indent="0" justifyLastLine="0" shrinkToFit="0" readingOrder="0"/>
      <border diagonalUp="0" diagonalDown="0" outline="0">
        <left style="medium">
          <color indexed="64"/>
        </left>
        <right/>
        <top/>
        <bottom/>
      </border>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theme="0" tint="-0.14999847407452621"/>
        </patternFill>
      </fill>
      <alignment horizontal="general" vertical="center" textRotation="0" wrapText="0" indent="0" justifyLastLine="0" shrinkToFit="0" readingOrder="0"/>
      <border diagonalUp="0" diagonalDown="0" outline="0">
        <left/>
        <right style="medium">
          <color indexed="64"/>
        </right>
        <top/>
        <bottom/>
      </border>
      <protection locked="1"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theme="0" tint="-0.14999847407452621"/>
        </patternFill>
      </fill>
      <protection locked="1" hidden="0"/>
    </dxf>
    <dxf>
      <font>
        <b val="0"/>
        <i val="0"/>
        <strike val="0"/>
        <condense val="0"/>
        <extend val="0"/>
        <outline val="0"/>
        <shadow val="0"/>
        <u val="none"/>
        <vertAlign val="baseline"/>
        <sz val="11"/>
        <color auto="1"/>
        <name val="Times New Roman"/>
        <scheme val="none"/>
      </font>
      <numFmt numFmtId="4" formatCode="#,##0.00"/>
      <fill>
        <patternFill patternType="none">
          <fgColor indexed="64"/>
          <bgColor indexed="65"/>
        </patternFill>
      </fill>
      <alignment horizontal="center" vertical="bottom" textRotation="0" wrapText="0" indent="0" justifyLastLine="0" shrinkToFit="0" readingOrder="0"/>
      <protection locked="1" hidden="0"/>
    </dxf>
    <dxf>
      <font>
        <b val="0"/>
        <i val="0"/>
        <strike val="0"/>
        <condense val="0"/>
        <extend val="0"/>
        <outline val="0"/>
        <shadow val="0"/>
        <u val="none"/>
        <vertAlign val="baseline"/>
        <sz val="11"/>
        <color auto="1"/>
        <name val="Times New Roman"/>
        <scheme val="none"/>
      </font>
      <numFmt numFmtId="0" formatCode="General"/>
      <fill>
        <patternFill patternType="solid">
          <fgColor indexed="64"/>
          <bgColor rgb="FFFFFF00"/>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1"/>
        <color auto="1"/>
        <name val="Times New Roman"/>
        <scheme val="none"/>
      </font>
      <numFmt numFmtId="4" formatCode="#,##0.00"/>
      <fill>
        <patternFill patternType="solid">
          <fgColor indexed="64"/>
          <bgColor rgb="FFFFFF99"/>
        </patternFill>
      </fill>
      <protection locked="0" hidden="0"/>
    </dxf>
    <dxf>
      <font>
        <b val="0"/>
        <i val="0"/>
        <strike val="0"/>
        <condense val="0"/>
        <extend val="0"/>
        <outline val="0"/>
        <shadow val="0"/>
        <u val="none"/>
        <vertAlign val="baseline"/>
        <sz val="11"/>
        <color auto="1"/>
        <name val="Times New Roman"/>
        <family val="1"/>
        <scheme val="none"/>
      </font>
      <numFmt numFmtId="4" formatCode="#,##0.00"/>
      <fill>
        <patternFill patternType="solid">
          <fgColor indexed="64"/>
          <bgColor rgb="FFFFFF99"/>
        </patternFill>
      </fill>
      <protection locked="0" hidden="0"/>
    </dxf>
    <dxf>
      <font>
        <b/>
        <i val="0"/>
        <strike val="0"/>
        <condense val="0"/>
        <extend val="0"/>
        <outline val="0"/>
        <shadow val="0"/>
        <u val="none"/>
        <vertAlign val="baseline"/>
        <sz val="11"/>
        <color auto="1"/>
        <name val="Times New Roman"/>
        <scheme val="none"/>
      </font>
      <numFmt numFmtId="168" formatCode="#,##0.000"/>
      <border diagonalUp="0" diagonalDown="0" outline="0">
        <left/>
        <right style="thin">
          <color indexed="64"/>
        </right>
        <top/>
        <bottom/>
      </border>
      <protection locked="1" hidden="0"/>
    </dxf>
    <dxf>
      <font>
        <b val="0"/>
        <i val="0"/>
        <strike val="0"/>
        <condense val="0"/>
        <extend val="0"/>
        <outline val="0"/>
        <shadow val="0"/>
        <u val="none"/>
        <vertAlign val="baseline"/>
        <sz val="11"/>
        <color auto="1"/>
        <name val="Times New Roman"/>
        <scheme val="none"/>
      </font>
      <numFmt numFmtId="168" formatCode="#,##0.000"/>
      <protection locked="1" hidden="0"/>
    </dxf>
    <dxf>
      <font>
        <b val="0"/>
        <i val="0"/>
        <strike val="0"/>
        <condense val="0"/>
        <extend val="0"/>
        <outline val="0"/>
        <shadow val="0"/>
        <u val="none"/>
        <vertAlign val="baseline"/>
        <sz val="11"/>
        <color auto="1"/>
        <name val="Times New Roman"/>
        <scheme val="none"/>
      </font>
      <numFmt numFmtId="168" formatCode="#,##0.000"/>
      <fill>
        <patternFill patternType="solid">
          <fgColor indexed="64"/>
          <bgColor rgb="FFFFFF00"/>
        </patternFill>
      </fill>
      <protection locked="0" hidden="0"/>
    </dxf>
    <dxf>
      <font>
        <b val="0"/>
        <i val="0"/>
        <strike val="0"/>
        <condense val="0"/>
        <extend val="0"/>
        <outline val="0"/>
        <shadow val="0"/>
        <u val="none"/>
        <vertAlign val="baseline"/>
        <sz val="11"/>
        <color auto="1"/>
        <name val="Times New Roman"/>
        <scheme val="none"/>
      </font>
      <fill>
        <patternFill patternType="solid">
          <fgColor indexed="64"/>
          <bgColor indexed="13"/>
        </patternFill>
      </fill>
      <alignment horizontal="center" vertical="center" textRotation="0" wrapText="0" indent="0" justifyLastLine="0" shrinkToFit="0" readingOrder="0"/>
      <protection locked="0" hidden="0"/>
    </dxf>
    <dxf>
      <font>
        <b/>
        <i val="0"/>
        <strike val="0"/>
        <condense val="0"/>
        <extend val="0"/>
        <outline val="0"/>
        <shadow val="0"/>
        <u val="none"/>
        <vertAlign val="baseline"/>
        <sz val="11"/>
        <color auto="1"/>
        <name val="Times New Roman"/>
        <scheme val="none"/>
      </font>
      <numFmt numFmtId="3" formatCode="#,##0"/>
      <fill>
        <patternFill patternType="none">
          <fgColor indexed="64"/>
          <bgColor indexed="65"/>
        </patternFill>
      </fill>
      <alignment horizontal="general" vertical="center"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auto="1"/>
        <name val="Times New Roman"/>
        <scheme val="none"/>
      </font>
      <numFmt numFmtId="3" formatCode="#,##0"/>
      <fill>
        <patternFill patternType="solid">
          <fgColor indexed="64"/>
          <bgColor indexed="13"/>
        </patternFill>
      </fill>
      <protection locked="0" hidden="0"/>
    </dxf>
    <dxf>
      <font>
        <b val="0"/>
        <i val="0"/>
        <strike val="0"/>
        <condense val="0"/>
        <extend val="0"/>
        <outline val="0"/>
        <shadow val="0"/>
        <u val="none"/>
        <vertAlign val="baseline"/>
        <sz val="11"/>
        <color auto="1"/>
        <name val="Times New Roman"/>
        <scheme val="none"/>
      </font>
      <fill>
        <patternFill patternType="solid">
          <fgColor indexed="64"/>
          <bgColor indexed="13"/>
        </patternFill>
      </fill>
      <protection locked="0" hidden="0"/>
    </dxf>
    <dxf>
      <font>
        <b val="0"/>
        <i val="0"/>
        <strike val="0"/>
        <condense val="0"/>
        <extend val="0"/>
        <outline val="0"/>
        <shadow val="0"/>
        <u val="none"/>
        <vertAlign val="baseline"/>
        <sz val="11"/>
        <color auto="1"/>
        <name val="Times New Roman"/>
        <scheme val="none"/>
      </font>
      <fill>
        <patternFill patternType="solid">
          <fgColor indexed="64"/>
          <bgColor indexed="13"/>
        </patternFill>
      </fill>
      <protection locked="0" hidden="0"/>
    </dxf>
    <dxf>
      <font>
        <b val="0"/>
        <i val="0"/>
        <strike val="0"/>
        <condense val="0"/>
        <extend val="0"/>
        <outline val="0"/>
        <shadow val="0"/>
        <u val="none"/>
        <vertAlign val="baseline"/>
        <sz val="11"/>
        <color auto="1"/>
        <name val="Times New Roman"/>
        <scheme val="none"/>
      </font>
      <fill>
        <patternFill patternType="solid">
          <fgColor indexed="64"/>
          <bgColor indexed="13"/>
        </patternFill>
      </fill>
      <border diagonalUp="0" diagonalDown="0">
        <left style="medium">
          <color rgb="FF000000"/>
        </left>
        <right/>
        <top/>
        <bottom/>
        <vertical/>
        <horizontal/>
      </border>
      <protection locked="0" hidden="0"/>
    </dxf>
    <dxf>
      <border outline="0">
        <top style="medium">
          <color indexed="64"/>
        </top>
        <bottom style="medium">
          <color indexed="64"/>
        </bottom>
      </border>
    </dxf>
    <dxf>
      <protection locked="1" hidden="0"/>
    </dxf>
    <dxf>
      <border>
        <bottom style="medium">
          <color indexed="64"/>
        </bottom>
      </border>
    </dxf>
    <dxf>
      <font>
        <b val="0"/>
        <i val="0"/>
        <strike val="0"/>
        <condense val="0"/>
        <extend val="0"/>
        <outline val="0"/>
        <shadow val="0"/>
        <u val="none"/>
        <vertAlign val="baseline"/>
        <sz val="11"/>
        <color auto="1"/>
        <name val="Times New Roman"/>
        <scheme val="none"/>
      </font>
      <fill>
        <patternFill patternType="solid">
          <fgColor indexed="64"/>
          <bgColor theme="0" tint="-0.14999847407452621"/>
        </patternFill>
      </fill>
      <alignment horizontal="center" vertical="bottom" textRotation="0" wrapText="1" indent="0" justifyLastLine="0" shrinkToFit="0" readingOrder="0"/>
      <border diagonalUp="0" diagonalDown="0" outline="0">
        <left/>
        <right/>
        <top/>
        <bottom/>
      </border>
      <protection locked="1" hidden="0"/>
    </dxf>
    <dxf>
      <fill>
        <patternFill>
          <bgColor rgb="FFFF0000"/>
        </patternFill>
      </fill>
    </dxf>
    <dxf>
      <fill>
        <patternFill>
          <bgColor rgb="FFFF0000"/>
        </patternFill>
      </fill>
    </dxf>
    <dxf>
      <fill>
        <patternFill>
          <bgColor theme="1"/>
        </patternFill>
      </fill>
    </dxf>
    <dxf>
      <fill>
        <patternFill>
          <bgColor rgb="FFFF0000"/>
        </patternFill>
      </fill>
    </dxf>
    <dxf>
      <fill>
        <patternFill>
          <bgColor rgb="FFFF0000"/>
        </patternFill>
      </fill>
    </dxf>
    <dxf>
      <fill>
        <patternFill>
          <bgColor rgb="FFFF0000"/>
        </patternFill>
      </fill>
    </dxf>
    <dxf>
      <fill>
        <patternFill>
          <bgColor theme="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3" tint="0.79998168889431442"/>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indexed="10"/>
        </patternFill>
      </fill>
    </dxf>
    <dxf>
      <fill>
        <patternFill>
          <bgColor indexed="10"/>
        </patternFill>
      </fill>
    </dxf>
    <dxf>
      <fill>
        <patternFill>
          <bgColor rgb="FFFFFF00"/>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rgb="FFFFFF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1"/>
        </patternFill>
      </fill>
    </dxf>
    <dxf>
      <fill>
        <patternFill>
          <bgColor rgb="FFFF0000"/>
        </patternFill>
      </fill>
    </dxf>
    <dxf>
      <fill>
        <patternFill>
          <bgColor rgb="FFFF0000"/>
        </patternFill>
      </fill>
    </dxf>
    <dxf>
      <fill>
        <patternFill>
          <bgColor rgb="FFFF0000"/>
        </patternFill>
      </fill>
    </dxf>
    <dxf>
      <fill>
        <patternFill>
          <bgColor rgb="FFCCFFCC"/>
        </patternFill>
      </fill>
    </dxf>
    <dxf>
      <fill>
        <patternFill>
          <bgColor rgb="FFFF0000"/>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rgb="FFFF0000"/>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indexed="10"/>
        </patternFill>
      </fill>
    </dxf>
    <dxf>
      <fill>
        <patternFill>
          <bgColor indexed="42"/>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ndense val="0"/>
        <extend val="0"/>
        <color indexed="9"/>
      </font>
    </dxf>
    <dxf>
      <fill>
        <patternFill>
          <bgColor rgb="FFFF0000"/>
        </patternFill>
      </fill>
    </dxf>
  </dxfs>
  <tableStyles count="0" defaultTableStyle="TableStyleMedium2" defaultPivotStyle="PivotStyleLight16"/>
  <colors>
    <mruColors>
      <color rgb="FFFFFF99"/>
      <color rgb="FFE8E8E8"/>
      <color rgb="FFCCFFCC"/>
      <color rgb="FF99FF99"/>
      <color rgb="FFF2F2F2"/>
      <color rgb="FFF0F0F0"/>
      <color rgb="FFFFCCFF"/>
      <color rgb="FFE4E4E4"/>
      <color rgb="FF2BF53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10.xml.rels><?xml version="1.0" encoding="UTF-8" standalone="yes"?>
<Relationships xmlns="http://schemas.openxmlformats.org/package/2006/relationships"><Relationship Id="rId1" Type="http://schemas.microsoft.com/office/2006/relationships/activeXControlBinary" Target="activeX10.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_rels/activeX5.xml.rels><?xml version="1.0" encoding="UTF-8" standalone="yes"?>
<Relationships xmlns="http://schemas.openxmlformats.org/package/2006/relationships"><Relationship Id="rId1" Type="http://schemas.microsoft.com/office/2006/relationships/activeXControlBinary" Target="activeX5.bin"/></Relationships>
</file>

<file path=xl/activeX/_rels/activeX6.xml.rels><?xml version="1.0" encoding="UTF-8" standalone="yes"?>
<Relationships xmlns="http://schemas.openxmlformats.org/package/2006/relationships"><Relationship Id="rId1" Type="http://schemas.microsoft.com/office/2006/relationships/activeXControlBinary" Target="activeX6.bin"/></Relationships>
</file>

<file path=xl/activeX/_rels/activeX7.xml.rels><?xml version="1.0" encoding="UTF-8" standalone="yes"?>
<Relationships xmlns="http://schemas.openxmlformats.org/package/2006/relationships"><Relationship Id="rId1" Type="http://schemas.microsoft.com/office/2006/relationships/activeXControlBinary" Target="activeX7.bin"/></Relationships>
</file>

<file path=xl/activeX/_rels/activeX8.xml.rels><?xml version="1.0" encoding="UTF-8" standalone="yes"?>
<Relationships xmlns="http://schemas.openxmlformats.org/package/2006/relationships"><Relationship Id="rId1" Type="http://schemas.microsoft.com/office/2006/relationships/activeXControlBinary" Target="activeX8.bin"/></Relationships>
</file>

<file path=xl/activeX/_rels/activeX9.xml.rels><?xml version="1.0" encoding="UTF-8" standalone="yes"?>
<Relationships xmlns="http://schemas.openxmlformats.org/package/2006/relationships"><Relationship Id="rId1" Type="http://schemas.microsoft.com/office/2006/relationships/activeXControlBinary" Target="activeX9.bin"/></Relationships>
</file>

<file path=xl/activeX/activeX1.xml><?xml version="1.0" encoding="utf-8"?>
<ax:ocx xmlns:ax="http://schemas.microsoft.com/office/2006/activeX" xmlns:r="http://schemas.openxmlformats.org/officeDocument/2006/relationships" ax:classid="{D7053240-CE69-11CD-A777-00DD01143C57}" ax:persistence="persistStreamInit" r:id="rId1"/>
</file>

<file path=xl/activeX/activeX10.xml><?xml version="1.0" encoding="utf-8"?>
<ax:ocx xmlns:ax="http://schemas.microsoft.com/office/2006/activeX" xmlns:r="http://schemas.openxmlformats.org/officeDocument/2006/relationships" ax:classid="{D7053240-CE69-11CD-A777-00DD01143C57}" ax:persistence="persistStreamInit" r:id="rId1"/>
</file>

<file path=xl/activeX/activeX2.xml><?xml version="1.0" encoding="utf-8"?>
<ax:ocx xmlns:ax="http://schemas.microsoft.com/office/2006/activeX" xmlns:r="http://schemas.openxmlformats.org/officeDocument/2006/relationships" ax:classid="{D7053240-CE69-11CD-A777-00DD01143C57}" ax:persistence="persistStreamInit" r:id="rId1"/>
</file>

<file path=xl/activeX/activeX3.xml><?xml version="1.0" encoding="utf-8"?>
<ax:ocx xmlns:ax="http://schemas.microsoft.com/office/2006/activeX" xmlns:r="http://schemas.openxmlformats.org/officeDocument/2006/relationships" ax:classid="{D7053240-CE69-11CD-A777-00DD01143C57}" ax:persistence="persistStreamInit" r:id="rId1"/>
</file>

<file path=xl/activeX/activeX4.xml><?xml version="1.0" encoding="utf-8"?>
<ax:ocx xmlns:ax="http://schemas.microsoft.com/office/2006/activeX" xmlns:r="http://schemas.openxmlformats.org/officeDocument/2006/relationships" ax:classid="{D7053240-CE69-11CD-A777-00DD01143C57}" ax:persistence="persistStreamInit" r:id="rId1"/>
</file>

<file path=xl/activeX/activeX5.xml><?xml version="1.0" encoding="utf-8"?>
<ax:ocx xmlns:ax="http://schemas.microsoft.com/office/2006/activeX" xmlns:r="http://schemas.openxmlformats.org/officeDocument/2006/relationships" ax:classid="{D7053240-CE69-11CD-A777-00DD01143C57}" ax:persistence="persistStreamInit" r:id="rId1"/>
</file>

<file path=xl/activeX/activeX6.xml><?xml version="1.0" encoding="utf-8"?>
<ax:ocx xmlns:ax="http://schemas.microsoft.com/office/2006/activeX" xmlns:r="http://schemas.openxmlformats.org/officeDocument/2006/relationships" ax:classid="{D7053240-CE69-11CD-A777-00DD01143C57}" ax:persistence="persistStreamInit" r:id="rId1"/>
</file>

<file path=xl/activeX/activeX7.xml><?xml version="1.0" encoding="utf-8"?>
<ax:ocx xmlns:ax="http://schemas.microsoft.com/office/2006/activeX" xmlns:r="http://schemas.openxmlformats.org/officeDocument/2006/relationships" ax:classid="{D7053240-CE69-11CD-A777-00DD01143C57}" ax:persistence="persistStreamInit" r:id="rId1"/>
</file>

<file path=xl/activeX/activeX8.xml><?xml version="1.0" encoding="utf-8"?>
<ax:ocx xmlns:ax="http://schemas.microsoft.com/office/2006/activeX" xmlns:r="http://schemas.openxmlformats.org/officeDocument/2006/relationships" ax:classid="{D7053240-CE69-11CD-A777-00DD01143C57}" ax:persistence="persistStreamInit" r:id="rId1"/>
</file>

<file path=xl/activeX/activeX9.xml><?xml version="1.0" encoding="utf-8"?>
<ax:ocx xmlns:ax="http://schemas.microsoft.com/office/2006/activeX" xmlns:r="http://schemas.openxmlformats.org/officeDocument/2006/relationships" ax:classid="{D7053240-CE69-11CD-A777-00DD01143C57}" ax:persistence="persistStreamInit" r:id="rId1"/>
</file>

<file path=xl/drawings/_rels/drawing10.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emf"/></Relationships>
</file>

<file path=xl/drawings/_rels/vmlDrawing10.vml.rels><?xml version="1.0" encoding="UTF-8" standalone="yes"?>
<Relationships xmlns="http://schemas.openxmlformats.org/package/2006/relationships"><Relationship Id="rId2" Type="http://schemas.openxmlformats.org/officeDocument/2006/relationships/image" Target="../media/image3.emf"/><Relationship Id="rId1" Type="http://schemas.openxmlformats.org/officeDocument/2006/relationships/image" Target="../media/image2.emf"/></Relationships>
</file>

<file path=xl/drawings/_rels/vmlDrawing6.vml.rels><?xml version="1.0" encoding="UTF-8" standalone="yes"?>
<Relationships xmlns="http://schemas.openxmlformats.org/package/2006/relationships"><Relationship Id="rId2" Type="http://schemas.openxmlformats.org/officeDocument/2006/relationships/image" Target="../media/image1.emf"/><Relationship Id="rId1" Type="http://schemas.openxmlformats.org/officeDocument/2006/relationships/image" Target="../media/image2.emf"/></Relationships>
</file>

<file path=xl/drawings/_rels/vmlDrawing7.vml.rels><?xml version="1.0" encoding="UTF-8" standalone="yes"?>
<Relationships xmlns="http://schemas.openxmlformats.org/package/2006/relationships"><Relationship Id="rId2" Type="http://schemas.openxmlformats.org/officeDocument/2006/relationships/image" Target="../media/image1.emf"/><Relationship Id="rId1" Type="http://schemas.openxmlformats.org/officeDocument/2006/relationships/image" Target="../media/image2.emf"/></Relationships>
</file>

<file path=xl/drawings/_rels/vmlDrawing8.vml.rels><?xml version="1.0" encoding="UTF-8" standalone="yes"?>
<Relationships xmlns="http://schemas.openxmlformats.org/package/2006/relationships"><Relationship Id="rId2" Type="http://schemas.openxmlformats.org/officeDocument/2006/relationships/image" Target="../media/image3.emf"/><Relationship Id="rId1" Type="http://schemas.openxmlformats.org/officeDocument/2006/relationships/image" Target="../media/image2.emf"/></Relationships>
</file>

<file path=xl/drawings/_rels/vmlDrawing9.vml.rels><?xml version="1.0" encoding="UTF-8" standalone="yes"?>
<Relationships xmlns="http://schemas.openxmlformats.org/package/2006/relationships"><Relationship Id="rId2" Type="http://schemas.openxmlformats.org/officeDocument/2006/relationships/image" Target="../media/image3.emf"/><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3</xdr:col>
      <xdr:colOff>990601</xdr:colOff>
      <xdr:row>18</xdr:row>
      <xdr:rowOff>171450</xdr:rowOff>
    </xdr:from>
    <xdr:to>
      <xdr:col>4</xdr:col>
      <xdr:colOff>0</xdr:colOff>
      <xdr:row>20</xdr:row>
      <xdr:rowOff>180975</xdr:rowOff>
    </xdr:to>
    <xdr:cxnSp macro="">
      <xdr:nvCxnSpPr>
        <xdr:cNvPr id="14" name="Gerade Verbindung mit Pfeil 13">
          <a:extLst>
            <a:ext uri="{FF2B5EF4-FFF2-40B4-BE49-F238E27FC236}">
              <a16:creationId xmlns:a16="http://schemas.microsoft.com/office/drawing/2014/main" id="{00000000-0008-0000-0100-00000E000000}"/>
            </a:ext>
          </a:extLst>
        </xdr:cNvPr>
        <xdr:cNvCxnSpPr/>
      </xdr:nvCxnSpPr>
      <xdr:spPr>
        <a:xfrm flipH="1">
          <a:off x="3638551" y="3667125"/>
          <a:ext cx="19049" cy="409575"/>
        </a:xfrm>
        <a:prstGeom prst="straightConnector1">
          <a:avLst/>
        </a:prstGeom>
        <a:ln w="127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0</xdr:colOff>
      <xdr:row>25</xdr:row>
      <xdr:rowOff>15875</xdr:rowOff>
    </xdr:from>
    <xdr:to>
      <xdr:col>5</xdr:col>
      <xdr:colOff>7937</xdr:colOff>
      <xdr:row>27</xdr:row>
      <xdr:rowOff>7938</xdr:rowOff>
    </xdr:to>
    <xdr:cxnSp macro="">
      <xdr:nvCxnSpPr>
        <xdr:cNvPr id="15" name="Gerade Verbindung mit Pfeil 14">
          <a:extLst>
            <a:ext uri="{FF2B5EF4-FFF2-40B4-BE49-F238E27FC236}">
              <a16:creationId xmlns:a16="http://schemas.microsoft.com/office/drawing/2014/main" id="{00000000-0008-0000-0100-00000F000000}"/>
            </a:ext>
          </a:extLst>
        </xdr:cNvPr>
        <xdr:cNvCxnSpPr/>
      </xdr:nvCxnSpPr>
      <xdr:spPr>
        <a:xfrm flipH="1">
          <a:off x="3659188" y="5857875"/>
          <a:ext cx="7937" cy="388938"/>
        </a:xfrm>
        <a:prstGeom prst="straightConnector1">
          <a:avLst/>
        </a:prstGeom>
        <a:ln w="127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9525</xdr:colOff>
      <xdr:row>22</xdr:row>
      <xdr:rowOff>0</xdr:rowOff>
    </xdr:from>
    <xdr:to>
      <xdr:col>7</xdr:col>
      <xdr:colOff>9525</xdr:colOff>
      <xdr:row>22</xdr:row>
      <xdr:rowOff>0</xdr:rowOff>
    </xdr:to>
    <xdr:cxnSp macro="">
      <xdr:nvCxnSpPr>
        <xdr:cNvPr id="17" name="Gerade Verbindung mit Pfeil 16">
          <a:extLst>
            <a:ext uri="{FF2B5EF4-FFF2-40B4-BE49-F238E27FC236}">
              <a16:creationId xmlns:a16="http://schemas.microsoft.com/office/drawing/2014/main" id="{00000000-0008-0000-0100-000011000000}"/>
            </a:ext>
          </a:extLst>
        </xdr:cNvPr>
        <xdr:cNvCxnSpPr/>
      </xdr:nvCxnSpPr>
      <xdr:spPr>
        <a:xfrm>
          <a:off x="3467100" y="971550"/>
          <a:ext cx="904875" cy="0"/>
        </a:xfrm>
        <a:prstGeom prst="straightConnector1">
          <a:avLst/>
        </a:prstGeom>
        <a:ln w="127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19050</xdr:colOff>
      <xdr:row>24</xdr:row>
      <xdr:rowOff>9525</xdr:rowOff>
    </xdr:from>
    <xdr:to>
      <xdr:col>7</xdr:col>
      <xdr:colOff>9525</xdr:colOff>
      <xdr:row>24</xdr:row>
      <xdr:rowOff>9525</xdr:rowOff>
    </xdr:to>
    <xdr:cxnSp macro="">
      <xdr:nvCxnSpPr>
        <xdr:cNvPr id="18" name="Gerade Verbindung mit Pfeil 17">
          <a:extLst>
            <a:ext uri="{FF2B5EF4-FFF2-40B4-BE49-F238E27FC236}">
              <a16:creationId xmlns:a16="http://schemas.microsoft.com/office/drawing/2014/main" id="{00000000-0008-0000-0100-000012000000}"/>
            </a:ext>
          </a:extLst>
        </xdr:cNvPr>
        <xdr:cNvCxnSpPr/>
      </xdr:nvCxnSpPr>
      <xdr:spPr>
        <a:xfrm>
          <a:off x="5695950" y="5295900"/>
          <a:ext cx="1000125" cy="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9525</xdr:colOff>
      <xdr:row>18</xdr:row>
      <xdr:rowOff>161925</xdr:rowOff>
    </xdr:from>
    <xdr:to>
      <xdr:col>5</xdr:col>
      <xdr:colOff>9525</xdr:colOff>
      <xdr:row>20</xdr:row>
      <xdr:rowOff>180975</xdr:rowOff>
    </xdr:to>
    <xdr:cxnSp macro="">
      <xdr:nvCxnSpPr>
        <xdr:cNvPr id="19" name="Gerade Verbindung mit Pfeil 18">
          <a:extLst>
            <a:ext uri="{FF2B5EF4-FFF2-40B4-BE49-F238E27FC236}">
              <a16:creationId xmlns:a16="http://schemas.microsoft.com/office/drawing/2014/main" id="{00000000-0008-0000-0100-000013000000}"/>
            </a:ext>
          </a:extLst>
        </xdr:cNvPr>
        <xdr:cNvCxnSpPr/>
      </xdr:nvCxnSpPr>
      <xdr:spPr>
        <a:xfrm flipV="1">
          <a:off x="4676775" y="3657600"/>
          <a:ext cx="0" cy="419100"/>
        </a:xfrm>
        <a:prstGeom prst="straightConnector1">
          <a:avLst/>
        </a:prstGeom>
        <a:ln w="127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24</xdr:row>
      <xdr:rowOff>185739</xdr:rowOff>
    </xdr:from>
    <xdr:to>
      <xdr:col>4</xdr:col>
      <xdr:colOff>7936</xdr:colOff>
      <xdr:row>28</xdr:row>
      <xdr:rowOff>15875</xdr:rowOff>
    </xdr:to>
    <xdr:cxnSp macro="">
      <xdr:nvCxnSpPr>
        <xdr:cNvPr id="20" name="Gerade Verbindung mit Pfeil 19">
          <a:extLst>
            <a:ext uri="{FF2B5EF4-FFF2-40B4-BE49-F238E27FC236}">
              <a16:creationId xmlns:a16="http://schemas.microsoft.com/office/drawing/2014/main" id="{00000000-0008-0000-0100-000014000000}"/>
            </a:ext>
          </a:extLst>
        </xdr:cNvPr>
        <xdr:cNvCxnSpPr/>
      </xdr:nvCxnSpPr>
      <xdr:spPr>
        <a:xfrm flipV="1">
          <a:off x="3659188" y="4837114"/>
          <a:ext cx="7936" cy="608011"/>
        </a:xfrm>
        <a:prstGeom prst="straightConnector1">
          <a:avLst/>
        </a:prstGeom>
        <a:ln w="127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1000125</xdr:colOff>
      <xdr:row>25</xdr:row>
      <xdr:rowOff>7938</xdr:rowOff>
    </xdr:from>
    <xdr:to>
      <xdr:col>6</xdr:col>
      <xdr:colOff>1000125</xdr:colOff>
      <xdr:row>27</xdr:row>
      <xdr:rowOff>7938</xdr:rowOff>
    </xdr:to>
    <xdr:cxnSp macro="">
      <xdr:nvCxnSpPr>
        <xdr:cNvPr id="24" name="Gerade Verbindung mit Pfeil 23">
          <a:extLst>
            <a:ext uri="{FF2B5EF4-FFF2-40B4-BE49-F238E27FC236}">
              <a16:creationId xmlns:a16="http://schemas.microsoft.com/office/drawing/2014/main" id="{00000000-0008-0000-0100-000018000000}"/>
            </a:ext>
          </a:extLst>
        </xdr:cNvPr>
        <xdr:cNvCxnSpPr/>
      </xdr:nvCxnSpPr>
      <xdr:spPr>
        <a:xfrm>
          <a:off x="5667375" y="4849813"/>
          <a:ext cx="1008063" cy="396875"/>
        </a:xfrm>
        <a:prstGeom prst="straightConnector1">
          <a:avLst/>
        </a:prstGeom>
        <a:ln w="127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19</xdr:row>
      <xdr:rowOff>1</xdr:rowOff>
    </xdr:from>
    <xdr:to>
      <xdr:col>7</xdr:col>
      <xdr:colOff>7938</xdr:colOff>
      <xdr:row>21</xdr:row>
      <xdr:rowOff>15875</xdr:rowOff>
    </xdr:to>
    <xdr:cxnSp macro="">
      <xdr:nvCxnSpPr>
        <xdr:cNvPr id="27" name="Gerade Verbindung mit Pfeil 26">
          <a:extLst>
            <a:ext uri="{FF2B5EF4-FFF2-40B4-BE49-F238E27FC236}">
              <a16:creationId xmlns:a16="http://schemas.microsoft.com/office/drawing/2014/main" id="{00000000-0008-0000-0100-00001B000000}"/>
            </a:ext>
          </a:extLst>
        </xdr:cNvPr>
        <xdr:cNvCxnSpPr/>
      </xdr:nvCxnSpPr>
      <xdr:spPr>
        <a:xfrm flipV="1">
          <a:off x="5675313" y="3683001"/>
          <a:ext cx="1016000" cy="412749"/>
        </a:xfrm>
        <a:prstGeom prst="straightConnector1">
          <a:avLst/>
        </a:prstGeom>
        <a:ln w="127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15875</xdr:colOff>
      <xdr:row>18</xdr:row>
      <xdr:rowOff>182563</xdr:rowOff>
    </xdr:from>
    <xdr:to>
      <xdr:col>3</xdr:col>
      <xdr:colOff>15875</xdr:colOff>
      <xdr:row>21</xdr:row>
      <xdr:rowOff>15875</xdr:rowOff>
    </xdr:to>
    <xdr:cxnSp macro="">
      <xdr:nvCxnSpPr>
        <xdr:cNvPr id="30" name="Gerade Verbindung mit Pfeil 29">
          <a:extLst>
            <a:ext uri="{FF2B5EF4-FFF2-40B4-BE49-F238E27FC236}">
              <a16:creationId xmlns:a16="http://schemas.microsoft.com/office/drawing/2014/main" id="{00000000-0008-0000-0100-00001E000000}"/>
            </a:ext>
          </a:extLst>
        </xdr:cNvPr>
        <xdr:cNvCxnSpPr/>
      </xdr:nvCxnSpPr>
      <xdr:spPr>
        <a:xfrm>
          <a:off x="1658938" y="3675063"/>
          <a:ext cx="1008062" cy="420687"/>
        </a:xfrm>
        <a:prstGeom prst="straightConnector1">
          <a:avLst/>
        </a:prstGeom>
        <a:ln w="127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15875</xdr:colOff>
      <xdr:row>24</xdr:row>
      <xdr:rowOff>174626</xdr:rowOff>
    </xdr:from>
    <xdr:to>
      <xdr:col>3</xdr:col>
      <xdr:colOff>7938</xdr:colOff>
      <xdr:row>26</xdr:row>
      <xdr:rowOff>182563</xdr:rowOff>
    </xdr:to>
    <xdr:cxnSp macro="">
      <xdr:nvCxnSpPr>
        <xdr:cNvPr id="31" name="Gerade Verbindung mit Pfeil 30">
          <a:extLst>
            <a:ext uri="{FF2B5EF4-FFF2-40B4-BE49-F238E27FC236}">
              <a16:creationId xmlns:a16="http://schemas.microsoft.com/office/drawing/2014/main" id="{00000000-0008-0000-0100-00001F000000}"/>
            </a:ext>
          </a:extLst>
        </xdr:cNvPr>
        <xdr:cNvCxnSpPr/>
      </xdr:nvCxnSpPr>
      <xdr:spPr>
        <a:xfrm flipV="1">
          <a:off x="1968500" y="4826001"/>
          <a:ext cx="1000126" cy="404812"/>
        </a:xfrm>
        <a:prstGeom prst="straightConnector1">
          <a:avLst/>
        </a:prstGeom>
        <a:ln w="127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9525</xdr:colOff>
      <xdr:row>23</xdr:row>
      <xdr:rowOff>0</xdr:rowOff>
    </xdr:from>
    <xdr:to>
      <xdr:col>3</xdr:col>
      <xdr:colOff>9525</xdr:colOff>
      <xdr:row>23</xdr:row>
      <xdr:rowOff>0</xdr:rowOff>
    </xdr:to>
    <xdr:cxnSp macro="">
      <xdr:nvCxnSpPr>
        <xdr:cNvPr id="32" name="Gerade Verbindung mit Pfeil 31">
          <a:extLst>
            <a:ext uri="{FF2B5EF4-FFF2-40B4-BE49-F238E27FC236}">
              <a16:creationId xmlns:a16="http://schemas.microsoft.com/office/drawing/2014/main" id="{00000000-0008-0000-0100-000020000000}"/>
            </a:ext>
          </a:extLst>
        </xdr:cNvPr>
        <xdr:cNvCxnSpPr/>
      </xdr:nvCxnSpPr>
      <xdr:spPr>
        <a:xfrm>
          <a:off x="5686425" y="4848225"/>
          <a:ext cx="1009650" cy="0"/>
        </a:xfrm>
        <a:prstGeom prst="straightConnector1">
          <a:avLst/>
        </a:prstGeom>
        <a:ln w="127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0</xdr:colOff>
      <xdr:row>27</xdr:row>
      <xdr:rowOff>7938</xdr:rowOff>
    </xdr:from>
    <xdr:to>
      <xdr:col>5</xdr:col>
      <xdr:colOff>7938</xdr:colOff>
      <xdr:row>30</xdr:row>
      <xdr:rowOff>7938</xdr:rowOff>
    </xdr:to>
    <xdr:cxnSp macro="">
      <xdr:nvCxnSpPr>
        <xdr:cNvPr id="39" name="Gerade Verbindung mit Pfeil 38">
          <a:extLst>
            <a:ext uri="{FF2B5EF4-FFF2-40B4-BE49-F238E27FC236}">
              <a16:creationId xmlns:a16="http://schemas.microsoft.com/office/drawing/2014/main" id="{00000000-0008-0000-0100-000027000000}"/>
            </a:ext>
          </a:extLst>
        </xdr:cNvPr>
        <xdr:cNvCxnSpPr/>
      </xdr:nvCxnSpPr>
      <xdr:spPr>
        <a:xfrm flipH="1">
          <a:off x="4667250" y="5246688"/>
          <a:ext cx="7938" cy="587375"/>
        </a:xfrm>
        <a:prstGeom prst="straightConnector1">
          <a:avLst/>
        </a:prstGeom>
        <a:ln w="127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990600</xdr:colOff>
      <xdr:row>34</xdr:row>
      <xdr:rowOff>0</xdr:rowOff>
    </xdr:from>
    <xdr:to>
      <xdr:col>3</xdr:col>
      <xdr:colOff>1000125</xdr:colOff>
      <xdr:row>36</xdr:row>
      <xdr:rowOff>0</xdr:rowOff>
    </xdr:to>
    <xdr:cxnSp macro="">
      <xdr:nvCxnSpPr>
        <xdr:cNvPr id="40" name="Gerade Verbindung mit Pfeil 39">
          <a:extLst>
            <a:ext uri="{FF2B5EF4-FFF2-40B4-BE49-F238E27FC236}">
              <a16:creationId xmlns:a16="http://schemas.microsoft.com/office/drawing/2014/main" id="{00000000-0008-0000-0100-000028000000}"/>
            </a:ext>
          </a:extLst>
        </xdr:cNvPr>
        <xdr:cNvCxnSpPr/>
      </xdr:nvCxnSpPr>
      <xdr:spPr>
        <a:xfrm flipH="1">
          <a:off x="3641725" y="5832475"/>
          <a:ext cx="9525" cy="406400"/>
        </a:xfrm>
        <a:prstGeom prst="straightConnector1">
          <a:avLst/>
        </a:prstGeom>
        <a:ln w="127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7937</xdr:colOff>
      <xdr:row>31</xdr:row>
      <xdr:rowOff>0</xdr:rowOff>
    </xdr:from>
    <xdr:to>
      <xdr:col>3</xdr:col>
      <xdr:colOff>7939</xdr:colOff>
      <xdr:row>31</xdr:row>
      <xdr:rowOff>15876</xdr:rowOff>
    </xdr:to>
    <xdr:cxnSp macro="">
      <xdr:nvCxnSpPr>
        <xdr:cNvPr id="41" name="Gerade Verbindung mit Pfeil 40">
          <a:extLst>
            <a:ext uri="{FF2B5EF4-FFF2-40B4-BE49-F238E27FC236}">
              <a16:creationId xmlns:a16="http://schemas.microsoft.com/office/drawing/2014/main" id="{00000000-0008-0000-0100-000029000000}"/>
            </a:ext>
          </a:extLst>
        </xdr:cNvPr>
        <xdr:cNvCxnSpPr/>
      </xdr:nvCxnSpPr>
      <xdr:spPr>
        <a:xfrm flipH="1" flipV="1">
          <a:off x="1651000" y="6016625"/>
          <a:ext cx="1008064" cy="15876"/>
        </a:xfrm>
        <a:prstGeom prst="straightConnector1">
          <a:avLst/>
        </a:prstGeom>
        <a:ln w="127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0</xdr:colOff>
      <xdr:row>33</xdr:row>
      <xdr:rowOff>1</xdr:rowOff>
    </xdr:from>
    <xdr:to>
      <xdr:col>3</xdr:col>
      <xdr:colOff>0</xdr:colOff>
      <xdr:row>33</xdr:row>
      <xdr:rowOff>15875</xdr:rowOff>
    </xdr:to>
    <xdr:cxnSp macro="">
      <xdr:nvCxnSpPr>
        <xdr:cNvPr id="42" name="Gerade Verbindung mit Pfeil 41">
          <a:extLst>
            <a:ext uri="{FF2B5EF4-FFF2-40B4-BE49-F238E27FC236}">
              <a16:creationId xmlns:a16="http://schemas.microsoft.com/office/drawing/2014/main" id="{00000000-0008-0000-0100-00002A000000}"/>
            </a:ext>
          </a:extLst>
        </xdr:cNvPr>
        <xdr:cNvCxnSpPr/>
      </xdr:nvCxnSpPr>
      <xdr:spPr>
        <a:xfrm flipH="1">
          <a:off x="1643063" y="6397626"/>
          <a:ext cx="1008062" cy="15874"/>
        </a:xfrm>
        <a:prstGeom prst="straightConnector1">
          <a:avLst/>
        </a:prstGeom>
        <a:ln w="127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1001713</xdr:colOff>
      <xdr:row>28</xdr:row>
      <xdr:rowOff>3175</xdr:rowOff>
    </xdr:from>
    <xdr:to>
      <xdr:col>3</xdr:col>
      <xdr:colOff>1001713</xdr:colOff>
      <xdr:row>30</xdr:row>
      <xdr:rowOff>22225</xdr:rowOff>
    </xdr:to>
    <xdr:cxnSp macro="">
      <xdr:nvCxnSpPr>
        <xdr:cNvPr id="43" name="Gerade Verbindung mit Pfeil 42">
          <a:extLst>
            <a:ext uri="{FF2B5EF4-FFF2-40B4-BE49-F238E27FC236}">
              <a16:creationId xmlns:a16="http://schemas.microsoft.com/office/drawing/2014/main" id="{00000000-0008-0000-0100-00002B000000}"/>
            </a:ext>
          </a:extLst>
        </xdr:cNvPr>
        <xdr:cNvCxnSpPr/>
      </xdr:nvCxnSpPr>
      <xdr:spPr>
        <a:xfrm flipV="1">
          <a:off x="3652838" y="5432425"/>
          <a:ext cx="0" cy="415925"/>
        </a:xfrm>
        <a:prstGeom prst="straightConnector1">
          <a:avLst/>
        </a:prstGeom>
        <a:ln w="127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0</xdr:colOff>
      <xdr:row>34</xdr:row>
      <xdr:rowOff>19051</xdr:rowOff>
    </xdr:from>
    <xdr:to>
      <xdr:col>5</xdr:col>
      <xdr:colOff>7938</xdr:colOff>
      <xdr:row>37</xdr:row>
      <xdr:rowOff>7938</xdr:rowOff>
    </xdr:to>
    <xdr:cxnSp macro="">
      <xdr:nvCxnSpPr>
        <xdr:cNvPr id="44" name="Gerade Verbindung mit Pfeil 43">
          <a:extLst>
            <a:ext uri="{FF2B5EF4-FFF2-40B4-BE49-F238E27FC236}">
              <a16:creationId xmlns:a16="http://schemas.microsoft.com/office/drawing/2014/main" id="{00000000-0008-0000-0100-00002C000000}"/>
            </a:ext>
          </a:extLst>
        </xdr:cNvPr>
        <xdr:cNvCxnSpPr/>
      </xdr:nvCxnSpPr>
      <xdr:spPr>
        <a:xfrm flipH="1" flipV="1">
          <a:off x="4667250" y="6607176"/>
          <a:ext cx="7938" cy="576262"/>
        </a:xfrm>
        <a:prstGeom prst="straightConnector1">
          <a:avLst/>
        </a:prstGeom>
        <a:ln w="127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0</xdr:colOff>
      <xdr:row>34</xdr:row>
      <xdr:rowOff>7938</xdr:rowOff>
    </xdr:from>
    <xdr:to>
      <xdr:col>3</xdr:col>
      <xdr:colOff>0</xdr:colOff>
      <xdr:row>36</xdr:row>
      <xdr:rowOff>0</xdr:rowOff>
    </xdr:to>
    <xdr:cxnSp macro="">
      <xdr:nvCxnSpPr>
        <xdr:cNvPr id="45" name="Gerade Verbindung mit Pfeil 44">
          <a:extLst>
            <a:ext uri="{FF2B5EF4-FFF2-40B4-BE49-F238E27FC236}">
              <a16:creationId xmlns:a16="http://schemas.microsoft.com/office/drawing/2014/main" id="{00000000-0008-0000-0100-00002D000000}"/>
            </a:ext>
          </a:extLst>
        </xdr:cNvPr>
        <xdr:cNvCxnSpPr/>
      </xdr:nvCxnSpPr>
      <xdr:spPr>
        <a:xfrm flipH="1">
          <a:off x="1643063" y="6596063"/>
          <a:ext cx="1008062" cy="388937"/>
        </a:xfrm>
        <a:prstGeom prst="straightConnector1">
          <a:avLst/>
        </a:prstGeom>
        <a:ln w="127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0</xdr:colOff>
      <xdr:row>27</xdr:row>
      <xdr:rowOff>174626</xdr:rowOff>
    </xdr:from>
    <xdr:to>
      <xdr:col>3</xdr:col>
      <xdr:colOff>0</xdr:colOff>
      <xdr:row>30</xdr:row>
      <xdr:rowOff>15875</xdr:rowOff>
    </xdr:to>
    <xdr:cxnSp macro="">
      <xdr:nvCxnSpPr>
        <xdr:cNvPr id="46" name="Gerade Verbindung mit Pfeil 45">
          <a:extLst>
            <a:ext uri="{FF2B5EF4-FFF2-40B4-BE49-F238E27FC236}">
              <a16:creationId xmlns:a16="http://schemas.microsoft.com/office/drawing/2014/main" id="{00000000-0008-0000-0100-00002E000000}"/>
            </a:ext>
          </a:extLst>
        </xdr:cNvPr>
        <xdr:cNvCxnSpPr/>
      </xdr:nvCxnSpPr>
      <xdr:spPr>
        <a:xfrm flipH="1" flipV="1">
          <a:off x="1643063" y="5413376"/>
          <a:ext cx="1008062" cy="428624"/>
        </a:xfrm>
        <a:prstGeom prst="straightConnector1">
          <a:avLst/>
        </a:prstGeom>
        <a:ln w="127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28</xdr:row>
      <xdr:rowOff>15875</xdr:rowOff>
    </xdr:from>
    <xdr:to>
      <xdr:col>7</xdr:col>
      <xdr:colOff>0</xdr:colOff>
      <xdr:row>30</xdr:row>
      <xdr:rowOff>7938</xdr:rowOff>
    </xdr:to>
    <xdr:cxnSp macro="">
      <xdr:nvCxnSpPr>
        <xdr:cNvPr id="47" name="Gerade Verbindung mit Pfeil 46">
          <a:extLst>
            <a:ext uri="{FF2B5EF4-FFF2-40B4-BE49-F238E27FC236}">
              <a16:creationId xmlns:a16="http://schemas.microsoft.com/office/drawing/2014/main" id="{00000000-0008-0000-0100-00002F000000}"/>
            </a:ext>
          </a:extLst>
        </xdr:cNvPr>
        <xdr:cNvCxnSpPr/>
      </xdr:nvCxnSpPr>
      <xdr:spPr>
        <a:xfrm flipH="1">
          <a:off x="5675313" y="5445125"/>
          <a:ext cx="1008062" cy="388938"/>
        </a:xfrm>
        <a:prstGeom prst="straightConnector1">
          <a:avLst/>
        </a:prstGeom>
        <a:ln w="127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34</xdr:row>
      <xdr:rowOff>0</xdr:rowOff>
    </xdr:from>
    <xdr:to>
      <xdr:col>7</xdr:col>
      <xdr:colOff>0</xdr:colOff>
      <xdr:row>36</xdr:row>
      <xdr:rowOff>0</xdr:rowOff>
    </xdr:to>
    <xdr:cxnSp macro="">
      <xdr:nvCxnSpPr>
        <xdr:cNvPr id="48" name="Gerade Verbindung mit Pfeil 47">
          <a:extLst>
            <a:ext uri="{FF2B5EF4-FFF2-40B4-BE49-F238E27FC236}">
              <a16:creationId xmlns:a16="http://schemas.microsoft.com/office/drawing/2014/main" id="{00000000-0008-0000-0100-000030000000}"/>
            </a:ext>
          </a:extLst>
        </xdr:cNvPr>
        <xdr:cNvCxnSpPr/>
      </xdr:nvCxnSpPr>
      <xdr:spPr>
        <a:xfrm flipH="1" flipV="1">
          <a:off x="5675313" y="7762875"/>
          <a:ext cx="1008062" cy="396875"/>
        </a:xfrm>
        <a:prstGeom prst="straightConnector1">
          <a:avLst/>
        </a:prstGeom>
        <a:ln w="127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xdr:colOff>
      <xdr:row>31</xdr:row>
      <xdr:rowOff>174625</xdr:rowOff>
    </xdr:from>
    <xdr:to>
      <xdr:col>7</xdr:col>
      <xdr:colOff>0</xdr:colOff>
      <xdr:row>32</xdr:row>
      <xdr:rowOff>7938</xdr:rowOff>
    </xdr:to>
    <xdr:cxnSp macro="">
      <xdr:nvCxnSpPr>
        <xdr:cNvPr id="49" name="Gerade Verbindung mit Pfeil 48">
          <a:extLst>
            <a:ext uri="{FF2B5EF4-FFF2-40B4-BE49-F238E27FC236}">
              <a16:creationId xmlns:a16="http://schemas.microsoft.com/office/drawing/2014/main" id="{00000000-0008-0000-0100-000031000000}"/>
            </a:ext>
          </a:extLst>
        </xdr:cNvPr>
        <xdr:cNvCxnSpPr/>
      </xdr:nvCxnSpPr>
      <xdr:spPr>
        <a:xfrm flipH="1">
          <a:off x="5675314" y="6191250"/>
          <a:ext cx="1008061" cy="23813"/>
        </a:xfrm>
        <a:prstGeom prst="straightConnector1">
          <a:avLst/>
        </a:prstGeom>
        <a:ln w="127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990602</xdr:colOff>
      <xdr:row>35</xdr:row>
      <xdr:rowOff>150813</xdr:rowOff>
    </xdr:from>
    <xdr:to>
      <xdr:col>3</xdr:col>
      <xdr:colOff>1000125</xdr:colOff>
      <xdr:row>38</xdr:row>
      <xdr:rowOff>180975</xdr:rowOff>
    </xdr:to>
    <xdr:cxnSp macro="">
      <xdr:nvCxnSpPr>
        <xdr:cNvPr id="50" name="Gerade Verbindung mit Pfeil 49">
          <a:extLst>
            <a:ext uri="{FF2B5EF4-FFF2-40B4-BE49-F238E27FC236}">
              <a16:creationId xmlns:a16="http://schemas.microsoft.com/office/drawing/2014/main" id="{00000000-0008-0000-0100-000032000000}"/>
            </a:ext>
          </a:extLst>
        </xdr:cNvPr>
        <xdr:cNvCxnSpPr/>
      </xdr:nvCxnSpPr>
      <xdr:spPr>
        <a:xfrm flipH="1">
          <a:off x="3951290" y="6977063"/>
          <a:ext cx="9523" cy="617537"/>
        </a:xfrm>
        <a:prstGeom prst="straightConnector1">
          <a:avLst/>
        </a:prstGeom>
        <a:ln w="127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9525</xdr:colOff>
      <xdr:row>40</xdr:row>
      <xdr:rowOff>0</xdr:rowOff>
    </xdr:from>
    <xdr:to>
      <xdr:col>7</xdr:col>
      <xdr:colOff>9525</xdr:colOff>
      <xdr:row>40</xdr:row>
      <xdr:rowOff>0</xdr:rowOff>
    </xdr:to>
    <xdr:cxnSp macro="">
      <xdr:nvCxnSpPr>
        <xdr:cNvPr id="52" name="Gerade Verbindung mit Pfeil 51">
          <a:extLst>
            <a:ext uri="{FF2B5EF4-FFF2-40B4-BE49-F238E27FC236}">
              <a16:creationId xmlns:a16="http://schemas.microsoft.com/office/drawing/2014/main" id="{00000000-0008-0000-0100-000034000000}"/>
            </a:ext>
          </a:extLst>
        </xdr:cNvPr>
        <xdr:cNvCxnSpPr/>
      </xdr:nvCxnSpPr>
      <xdr:spPr>
        <a:xfrm>
          <a:off x="5684838" y="7016750"/>
          <a:ext cx="1008062" cy="0"/>
        </a:xfrm>
        <a:prstGeom prst="straightConnector1">
          <a:avLst/>
        </a:prstGeom>
        <a:ln w="127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19050</xdr:colOff>
      <xdr:row>42</xdr:row>
      <xdr:rowOff>9525</xdr:rowOff>
    </xdr:from>
    <xdr:to>
      <xdr:col>7</xdr:col>
      <xdr:colOff>9525</xdr:colOff>
      <xdr:row>42</xdr:row>
      <xdr:rowOff>9525</xdr:rowOff>
    </xdr:to>
    <xdr:cxnSp macro="">
      <xdr:nvCxnSpPr>
        <xdr:cNvPr id="53" name="Gerade Verbindung mit Pfeil 52">
          <a:extLst>
            <a:ext uri="{FF2B5EF4-FFF2-40B4-BE49-F238E27FC236}">
              <a16:creationId xmlns:a16="http://schemas.microsoft.com/office/drawing/2014/main" id="{00000000-0008-0000-0100-000035000000}"/>
            </a:ext>
          </a:extLst>
        </xdr:cNvPr>
        <xdr:cNvCxnSpPr/>
      </xdr:nvCxnSpPr>
      <xdr:spPr>
        <a:xfrm>
          <a:off x="5694363" y="8216900"/>
          <a:ext cx="998537" cy="0"/>
        </a:xfrm>
        <a:prstGeom prst="straightConnector1">
          <a:avLst/>
        </a:prstGeom>
        <a:ln w="127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9525</xdr:colOff>
      <xdr:row>36</xdr:row>
      <xdr:rowOff>161925</xdr:rowOff>
    </xdr:from>
    <xdr:to>
      <xdr:col>5</xdr:col>
      <xdr:colOff>9525</xdr:colOff>
      <xdr:row>38</xdr:row>
      <xdr:rowOff>180975</xdr:rowOff>
    </xdr:to>
    <xdr:cxnSp macro="">
      <xdr:nvCxnSpPr>
        <xdr:cNvPr id="54" name="Gerade Verbindung mit Pfeil 53">
          <a:extLst>
            <a:ext uri="{FF2B5EF4-FFF2-40B4-BE49-F238E27FC236}">
              <a16:creationId xmlns:a16="http://schemas.microsoft.com/office/drawing/2014/main" id="{00000000-0008-0000-0100-000036000000}"/>
            </a:ext>
          </a:extLst>
        </xdr:cNvPr>
        <xdr:cNvCxnSpPr/>
      </xdr:nvCxnSpPr>
      <xdr:spPr>
        <a:xfrm flipV="1">
          <a:off x="4676775" y="6400800"/>
          <a:ext cx="0" cy="415925"/>
        </a:xfrm>
        <a:prstGeom prst="straightConnector1">
          <a:avLst/>
        </a:prstGeom>
        <a:ln w="127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7937</xdr:colOff>
      <xdr:row>43</xdr:row>
      <xdr:rowOff>15875</xdr:rowOff>
    </xdr:from>
    <xdr:to>
      <xdr:col>7</xdr:col>
      <xdr:colOff>0</xdr:colOff>
      <xdr:row>45</xdr:row>
      <xdr:rowOff>7938</xdr:rowOff>
    </xdr:to>
    <xdr:cxnSp macro="">
      <xdr:nvCxnSpPr>
        <xdr:cNvPr id="56" name="Gerade Verbindung mit Pfeil 55">
          <a:extLst>
            <a:ext uri="{FF2B5EF4-FFF2-40B4-BE49-F238E27FC236}">
              <a16:creationId xmlns:a16="http://schemas.microsoft.com/office/drawing/2014/main" id="{00000000-0008-0000-0100-000038000000}"/>
            </a:ext>
          </a:extLst>
        </xdr:cNvPr>
        <xdr:cNvCxnSpPr/>
      </xdr:nvCxnSpPr>
      <xdr:spPr>
        <a:xfrm>
          <a:off x="5683250" y="8731250"/>
          <a:ext cx="1000125" cy="388938"/>
        </a:xfrm>
        <a:prstGeom prst="straightConnector1">
          <a:avLst/>
        </a:prstGeom>
        <a:ln w="127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37</xdr:row>
      <xdr:rowOff>7938</xdr:rowOff>
    </xdr:from>
    <xdr:to>
      <xdr:col>7</xdr:col>
      <xdr:colOff>7938</xdr:colOff>
      <xdr:row>39</xdr:row>
      <xdr:rowOff>15876</xdr:rowOff>
    </xdr:to>
    <xdr:cxnSp macro="">
      <xdr:nvCxnSpPr>
        <xdr:cNvPr id="57" name="Gerade Verbindung mit Pfeil 56">
          <a:extLst>
            <a:ext uri="{FF2B5EF4-FFF2-40B4-BE49-F238E27FC236}">
              <a16:creationId xmlns:a16="http://schemas.microsoft.com/office/drawing/2014/main" id="{00000000-0008-0000-0100-000039000000}"/>
            </a:ext>
          </a:extLst>
        </xdr:cNvPr>
        <xdr:cNvCxnSpPr/>
      </xdr:nvCxnSpPr>
      <xdr:spPr>
        <a:xfrm flipV="1">
          <a:off x="5675313" y="7945438"/>
          <a:ext cx="1016000" cy="404813"/>
        </a:xfrm>
        <a:prstGeom prst="straightConnector1">
          <a:avLst/>
        </a:prstGeom>
        <a:ln w="127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15875</xdr:colOff>
      <xdr:row>37</xdr:row>
      <xdr:rowOff>7938</xdr:rowOff>
    </xdr:from>
    <xdr:to>
      <xdr:col>3</xdr:col>
      <xdr:colOff>7938</xdr:colOff>
      <xdr:row>39</xdr:row>
      <xdr:rowOff>7938</xdr:rowOff>
    </xdr:to>
    <xdr:cxnSp macro="">
      <xdr:nvCxnSpPr>
        <xdr:cNvPr id="58" name="Gerade Verbindung mit Pfeil 57">
          <a:extLst>
            <a:ext uri="{FF2B5EF4-FFF2-40B4-BE49-F238E27FC236}">
              <a16:creationId xmlns:a16="http://schemas.microsoft.com/office/drawing/2014/main" id="{00000000-0008-0000-0100-00003A000000}"/>
            </a:ext>
          </a:extLst>
        </xdr:cNvPr>
        <xdr:cNvCxnSpPr/>
      </xdr:nvCxnSpPr>
      <xdr:spPr>
        <a:xfrm>
          <a:off x="1658938" y="7945438"/>
          <a:ext cx="1000125" cy="396875"/>
        </a:xfrm>
        <a:prstGeom prst="straightConnector1">
          <a:avLst/>
        </a:prstGeom>
        <a:ln w="127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15875</xdr:colOff>
      <xdr:row>43</xdr:row>
      <xdr:rowOff>7938</xdr:rowOff>
    </xdr:from>
    <xdr:to>
      <xdr:col>3</xdr:col>
      <xdr:colOff>0</xdr:colOff>
      <xdr:row>45</xdr:row>
      <xdr:rowOff>7939</xdr:rowOff>
    </xdr:to>
    <xdr:cxnSp macro="">
      <xdr:nvCxnSpPr>
        <xdr:cNvPr id="59" name="Gerade Verbindung mit Pfeil 58">
          <a:extLst>
            <a:ext uri="{FF2B5EF4-FFF2-40B4-BE49-F238E27FC236}">
              <a16:creationId xmlns:a16="http://schemas.microsoft.com/office/drawing/2014/main" id="{00000000-0008-0000-0100-00003B000000}"/>
            </a:ext>
          </a:extLst>
        </xdr:cNvPr>
        <xdr:cNvCxnSpPr/>
      </xdr:nvCxnSpPr>
      <xdr:spPr>
        <a:xfrm flipV="1">
          <a:off x="1658938" y="8723313"/>
          <a:ext cx="992187" cy="396876"/>
        </a:xfrm>
        <a:prstGeom prst="straightConnector1">
          <a:avLst/>
        </a:prstGeom>
        <a:ln w="127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9525</xdr:colOff>
      <xdr:row>41</xdr:row>
      <xdr:rowOff>0</xdr:rowOff>
    </xdr:from>
    <xdr:to>
      <xdr:col>3</xdr:col>
      <xdr:colOff>9525</xdr:colOff>
      <xdr:row>41</xdr:row>
      <xdr:rowOff>0</xdr:rowOff>
    </xdr:to>
    <xdr:cxnSp macro="">
      <xdr:nvCxnSpPr>
        <xdr:cNvPr id="60" name="Gerade Verbindung mit Pfeil 59">
          <a:extLst>
            <a:ext uri="{FF2B5EF4-FFF2-40B4-BE49-F238E27FC236}">
              <a16:creationId xmlns:a16="http://schemas.microsoft.com/office/drawing/2014/main" id="{00000000-0008-0000-0100-00003C000000}"/>
            </a:ext>
          </a:extLst>
        </xdr:cNvPr>
        <xdr:cNvCxnSpPr/>
      </xdr:nvCxnSpPr>
      <xdr:spPr>
        <a:xfrm>
          <a:off x="1652588" y="7604125"/>
          <a:ext cx="1008062" cy="0"/>
        </a:xfrm>
        <a:prstGeom prst="straightConnector1">
          <a:avLst/>
        </a:prstGeom>
        <a:ln w="127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19050</xdr:colOff>
      <xdr:row>24</xdr:row>
      <xdr:rowOff>9525</xdr:rowOff>
    </xdr:from>
    <xdr:to>
      <xdr:col>7</xdr:col>
      <xdr:colOff>9525</xdr:colOff>
      <xdr:row>24</xdr:row>
      <xdr:rowOff>9525</xdr:rowOff>
    </xdr:to>
    <xdr:cxnSp macro="">
      <xdr:nvCxnSpPr>
        <xdr:cNvPr id="65" name="Gerade Verbindung mit Pfeil 64">
          <a:extLst>
            <a:ext uri="{FF2B5EF4-FFF2-40B4-BE49-F238E27FC236}">
              <a16:creationId xmlns:a16="http://schemas.microsoft.com/office/drawing/2014/main" id="{00000000-0008-0000-0100-000041000000}"/>
            </a:ext>
          </a:extLst>
        </xdr:cNvPr>
        <xdr:cNvCxnSpPr/>
      </xdr:nvCxnSpPr>
      <xdr:spPr>
        <a:xfrm>
          <a:off x="5694363" y="8216900"/>
          <a:ext cx="998537" cy="0"/>
        </a:xfrm>
        <a:prstGeom prst="straightConnector1">
          <a:avLst/>
        </a:prstGeom>
        <a:ln w="127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20</xdr:row>
      <xdr:rowOff>174625</xdr:rowOff>
    </xdr:from>
    <xdr:to>
      <xdr:col>5</xdr:col>
      <xdr:colOff>15875</xdr:colOff>
      <xdr:row>25</xdr:row>
      <xdr:rowOff>7938</xdr:rowOff>
    </xdr:to>
    <xdr:cxnSp macro="">
      <xdr:nvCxnSpPr>
        <xdr:cNvPr id="5" name="Gerade Verbindung 4">
          <a:extLst>
            <a:ext uri="{FF2B5EF4-FFF2-40B4-BE49-F238E27FC236}">
              <a16:creationId xmlns:a16="http://schemas.microsoft.com/office/drawing/2014/main" id="{00000000-0008-0000-0100-000005000000}"/>
            </a:ext>
          </a:extLst>
        </xdr:cNvPr>
        <xdr:cNvCxnSpPr/>
      </xdr:nvCxnSpPr>
      <xdr:spPr>
        <a:xfrm>
          <a:off x="3659188" y="4064000"/>
          <a:ext cx="1023937" cy="1166813"/>
        </a:xfrm>
        <a:prstGeom prst="line">
          <a:avLst/>
        </a:prstGeom>
        <a:ln w="127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30</xdr:row>
      <xdr:rowOff>0</xdr:rowOff>
    </xdr:from>
    <xdr:to>
      <xdr:col>5</xdr:col>
      <xdr:colOff>0</xdr:colOff>
      <xdr:row>34</xdr:row>
      <xdr:rowOff>0</xdr:rowOff>
    </xdr:to>
    <xdr:cxnSp macro="">
      <xdr:nvCxnSpPr>
        <xdr:cNvPr id="28" name="Gerade Verbindung 27">
          <a:extLst>
            <a:ext uri="{FF2B5EF4-FFF2-40B4-BE49-F238E27FC236}">
              <a16:creationId xmlns:a16="http://schemas.microsoft.com/office/drawing/2014/main" id="{00000000-0008-0000-0100-00001C000000}"/>
            </a:ext>
          </a:extLst>
        </xdr:cNvPr>
        <xdr:cNvCxnSpPr/>
      </xdr:nvCxnSpPr>
      <xdr:spPr>
        <a:xfrm flipH="1">
          <a:off x="3659188" y="5826125"/>
          <a:ext cx="1008062" cy="762000"/>
        </a:xfrm>
        <a:prstGeom prst="line">
          <a:avLst/>
        </a:prstGeom>
        <a:ln w="127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15875</xdr:colOff>
      <xdr:row>39</xdr:row>
      <xdr:rowOff>7938</xdr:rowOff>
    </xdr:from>
    <xdr:to>
      <xdr:col>5</xdr:col>
      <xdr:colOff>7937</xdr:colOff>
      <xdr:row>43</xdr:row>
      <xdr:rowOff>7938</xdr:rowOff>
    </xdr:to>
    <xdr:cxnSp macro="">
      <xdr:nvCxnSpPr>
        <xdr:cNvPr id="69" name="Gerade Verbindung 68">
          <a:extLst>
            <a:ext uri="{FF2B5EF4-FFF2-40B4-BE49-F238E27FC236}">
              <a16:creationId xmlns:a16="http://schemas.microsoft.com/office/drawing/2014/main" id="{00000000-0008-0000-0100-000045000000}"/>
            </a:ext>
          </a:extLst>
        </xdr:cNvPr>
        <xdr:cNvCxnSpPr/>
      </xdr:nvCxnSpPr>
      <xdr:spPr>
        <a:xfrm>
          <a:off x="3984625" y="7580313"/>
          <a:ext cx="1000125" cy="762000"/>
        </a:xfrm>
        <a:prstGeom prst="line">
          <a:avLst/>
        </a:prstGeom>
        <a:ln w="127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7937</xdr:colOff>
      <xdr:row>31</xdr:row>
      <xdr:rowOff>0</xdr:rowOff>
    </xdr:from>
    <xdr:to>
      <xdr:col>3</xdr:col>
      <xdr:colOff>7939</xdr:colOff>
      <xdr:row>31</xdr:row>
      <xdr:rowOff>15876</xdr:rowOff>
    </xdr:to>
    <xdr:cxnSp macro="">
      <xdr:nvCxnSpPr>
        <xdr:cNvPr id="37" name="Gerade Verbindung mit Pfeil 36">
          <a:extLst>
            <a:ext uri="{FF2B5EF4-FFF2-40B4-BE49-F238E27FC236}">
              <a16:creationId xmlns:a16="http://schemas.microsoft.com/office/drawing/2014/main" id="{00000000-0008-0000-0100-000025000000}"/>
            </a:ext>
          </a:extLst>
        </xdr:cNvPr>
        <xdr:cNvCxnSpPr/>
      </xdr:nvCxnSpPr>
      <xdr:spPr>
        <a:xfrm flipH="1" flipV="1">
          <a:off x="1960562" y="6057900"/>
          <a:ext cx="1009652" cy="15876"/>
        </a:xfrm>
        <a:prstGeom prst="straightConnector1">
          <a:avLst/>
        </a:prstGeom>
        <a:ln w="12700">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71</xdr:row>
      <xdr:rowOff>57150</xdr:rowOff>
    </xdr:from>
    <xdr:to>
      <xdr:col>15</xdr:col>
      <xdr:colOff>0</xdr:colOff>
      <xdr:row>120</xdr:row>
      <xdr:rowOff>60683</xdr:rowOff>
    </xdr:to>
    <xdr:pic>
      <xdr:nvPicPr>
        <xdr:cNvPr id="3" name="Picture 1">
          <a:extLst>
            <a:ext uri="{FF2B5EF4-FFF2-40B4-BE49-F238E27FC236}">
              <a16:creationId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1506200"/>
          <a:ext cx="11430000" cy="7937858"/>
        </a:xfrm>
        <a:prstGeom prst="rect">
          <a:avLst/>
        </a:prstGeom>
        <a:solidFill>
          <a:srgbClr val="E8E8E8"/>
        </a:solidFill>
      </xdr:spPr>
    </xdr:pic>
    <xdr:clientData/>
  </xdr:twoCellAnchor>
  <xdr:twoCellAnchor>
    <xdr:from>
      <xdr:col>1</xdr:col>
      <xdr:colOff>19047</xdr:colOff>
      <xdr:row>54</xdr:row>
      <xdr:rowOff>9525</xdr:rowOff>
    </xdr:from>
    <xdr:to>
      <xdr:col>16</xdr:col>
      <xdr:colOff>666750</xdr:colOff>
      <xdr:row>64</xdr:row>
      <xdr:rowOff>104775</xdr:rowOff>
    </xdr:to>
    <mc:AlternateContent xmlns:mc="http://schemas.openxmlformats.org/markup-compatibility/2006" xmlns:a14="http://schemas.microsoft.com/office/drawing/2010/main">
      <mc:Choice Requires="a14">
        <xdr:sp macro="" textlink="">
          <xdr:nvSpPr>
            <xdr:cNvPr id="8" name="Textplatzhalter 7">
              <a:extLst>
                <a:ext uri="{FF2B5EF4-FFF2-40B4-BE49-F238E27FC236}">
                  <a16:creationId xmlns:a16="http://schemas.microsoft.com/office/drawing/2014/main" id="{00000000-0008-0000-0C00-000008000000}"/>
                </a:ext>
              </a:extLst>
            </xdr:cNvPr>
            <xdr:cNvSpPr>
              <a:spLocks noGrp="1"/>
            </xdr:cNvSpPr>
          </xdr:nvSpPr>
          <xdr:spPr>
            <a:xfrm>
              <a:off x="781047" y="8553450"/>
              <a:ext cx="12077703" cy="2066925"/>
            </a:xfrm>
            <a:prstGeom prst="rect">
              <a:avLst/>
            </a:prstGeom>
          </xdr:spPr>
          <xdr:txBody>
            <a:bodyPr wrap="square">
              <a:noAutofit/>
            </a:bodyPr>
            <a:lstStyle>
              <a:lvl1pPr marL="0" indent="0" algn="l" rtl="0" fontAlgn="base">
                <a:spcBef>
                  <a:spcPct val="20000"/>
                </a:spcBef>
                <a:spcAft>
                  <a:spcPct val="0"/>
                </a:spcAft>
                <a:buClr>
                  <a:schemeClr val="bg2"/>
                </a:buClr>
                <a:buSzPct val="75000"/>
                <a:buFont typeface="Wingdings" pitchFamily="2" charset="2"/>
                <a:buNone/>
                <a:defRPr sz="1400">
                  <a:solidFill>
                    <a:schemeClr val="tx1"/>
                  </a:solidFill>
                  <a:latin typeface="+mn-lt"/>
                  <a:ea typeface="+mn-ea"/>
                  <a:cs typeface="+mn-cs"/>
                </a:defRPr>
              </a:lvl1pPr>
              <a:lvl2pPr marL="457200" indent="0" algn="l" rtl="0" fontAlgn="base">
                <a:spcBef>
                  <a:spcPct val="20000"/>
                </a:spcBef>
                <a:spcAft>
                  <a:spcPct val="0"/>
                </a:spcAft>
                <a:buClr>
                  <a:schemeClr val="accent2"/>
                </a:buClr>
                <a:buSzPct val="80000"/>
                <a:buFont typeface="Wingdings" pitchFamily="2" charset="2"/>
                <a:buNone/>
                <a:defRPr sz="1200">
                  <a:solidFill>
                    <a:schemeClr val="tx1"/>
                  </a:solidFill>
                  <a:latin typeface="+mn-lt"/>
                </a:defRPr>
              </a:lvl2pPr>
              <a:lvl3pPr marL="914400" indent="0" algn="l" rtl="0" fontAlgn="base">
                <a:spcBef>
                  <a:spcPct val="20000"/>
                </a:spcBef>
                <a:spcAft>
                  <a:spcPct val="0"/>
                </a:spcAft>
                <a:buClr>
                  <a:schemeClr val="bg2"/>
                </a:buClr>
                <a:buSzPct val="65000"/>
                <a:buFont typeface="Wingdings" pitchFamily="2" charset="2"/>
                <a:buNone/>
                <a:defRPr sz="1000">
                  <a:solidFill>
                    <a:schemeClr val="tx1"/>
                  </a:solidFill>
                  <a:latin typeface="+mn-lt"/>
                </a:defRPr>
              </a:lvl3pPr>
              <a:lvl4pPr marL="1371600" indent="0" algn="l" rtl="0" fontAlgn="base">
                <a:spcBef>
                  <a:spcPct val="20000"/>
                </a:spcBef>
                <a:spcAft>
                  <a:spcPct val="0"/>
                </a:spcAft>
                <a:buClr>
                  <a:schemeClr val="accent2"/>
                </a:buClr>
                <a:buSzPct val="70000"/>
                <a:buFont typeface="Wingdings" pitchFamily="2" charset="2"/>
                <a:buNone/>
                <a:defRPr sz="900">
                  <a:solidFill>
                    <a:schemeClr val="tx1"/>
                  </a:solidFill>
                  <a:latin typeface="+mn-lt"/>
                </a:defRPr>
              </a:lvl4pPr>
              <a:lvl5pPr marL="1828800" indent="0" algn="l" rtl="0" fontAlgn="base">
                <a:spcBef>
                  <a:spcPct val="20000"/>
                </a:spcBef>
                <a:spcAft>
                  <a:spcPct val="0"/>
                </a:spcAft>
                <a:buClr>
                  <a:schemeClr val="bg2"/>
                </a:buClr>
                <a:buFont typeface="Wingdings" pitchFamily="2" charset="2"/>
                <a:buNone/>
                <a:defRPr sz="900">
                  <a:solidFill>
                    <a:schemeClr val="tx1"/>
                  </a:solidFill>
                  <a:latin typeface="+mn-lt"/>
                </a:defRPr>
              </a:lvl5pPr>
              <a:lvl6pPr marL="2286000" indent="0" algn="l" rtl="0" fontAlgn="base">
                <a:spcBef>
                  <a:spcPct val="20000"/>
                </a:spcBef>
                <a:spcAft>
                  <a:spcPct val="0"/>
                </a:spcAft>
                <a:buClr>
                  <a:schemeClr val="bg2"/>
                </a:buClr>
                <a:buFont typeface="Wingdings" pitchFamily="2" charset="2"/>
                <a:buNone/>
                <a:defRPr sz="900">
                  <a:solidFill>
                    <a:schemeClr val="tx1"/>
                  </a:solidFill>
                  <a:latin typeface="+mn-lt"/>
                </a:defRPr>
              </a:lvl6pPr>
              <a:lvl7pPr marL="2743200" indent="0" algn="l" rtl="0" fontAlgn="base">
                <a:spcBef>
                  <a:spcPct val="20000"/>
                </a:spcBef>
                <a:spcAft>
                  <a:spcPct val="0"/>
                </a:spcAft>
                <a:buClr>
                  <a:schemeClr val="bg2"/>
                </a:buClr>
                <a:buFont typeface="Wingdings" pitchFamily="2" charset="2"/>
                <a:buNone/>
                <a:defRPr sz="900">
                  <a:solidFill>
                    <a:schemeClr val="tx1"/>
                  </a:solidFill>
                  <a:latin typeface="+mn-lt"/>
                </a:defRPr>
              </a:lvl7pPr>
              <a:lvl8pPr marL="3200400" indent="0" algn="l" rtl="0" fontAlgn="base">
                <a:spcBef>
                  <a:spcPct val="20000"/>
                </a:spcBef>
                <a:spcAft>
                  <a:spcPct val="0"/>
                </a:spcAft>
                <a:buClr>
                  <a:schemeClr val="bg2"/>
                </a:buClr>
                <a:buFont typeface="Wingdings" pitchFamily="2" charset="2"/>
                <a:buNone/>
                <a:defRPr sz="900">
                  <a:solidFill>
                    <a:schemeClr val="tx1"/>
                  </a:solidFill>
                  <a:latin typeface="+mn-lt"/>
                </a:defRPr>
              </a:lvl8pPr>
              <a:lvl9pPr marL="3657600" indent="0" algn="l" rtl="0" fontAlgn="base">
                <a:spcBef>
                  <a:spcPct val="20000"/>
                </a:spcBef>
                <a:spcAft>
                  <a:spcPct val="0"/>
                </a:spcAft>
                <a:buClr>
                  <a:schemeClr val="bg2"/>
                </a:buClr>
                <a:buFont typeface="Wingdings" pitchFamily="2" charset="2"/>
                <a:buNone/>
                <a:defRPr sz="900">
                  <a:solidFill>
                    <a:schemeClr val="tx1"/>
                  </a:solidFill>
                  <a:latin typeface="+mn-lt"/>
                </a:defRPr>
              </a:lvl9pPr>
            </a:lstStyle>
            <a:p>
              <a:pPr marL="342900" indent="-342900">
                <a:buClr>
                  <a:schemeClr val="tx1"/>
                </a:buClr>
                <a:buFont typeface="Wingdings" panose="05000000000000000000" pitchFamily="2" charset="2"/>
                <a:buChar char="Ø"/>
              </a:pPr>
              <a:r>
                <a:rPr lang="de-DE" sz="1800" i="1">
                  <a:solidFill>
                    <a:srgbClr val="000000"/>
                  </a:solidFill>
                  <a:latin typeface="Cambria" panose="02040503050406030204" pitchFamily="18" charset="0"/>
                  <a:ea typeface="Cambria" panose="02040503050406030204" pitchFamily="18" charset="0"/>
                </a:rPr>
                <a:t>P</a:t>
              </a:r>
              <a:r>
                <a:rPr lang="de-DE" sz="1800" i="1" baseline="-25000">
                  <a:solidFill>
                    <a:srgbClr val="000000"/>
                  </a:solidFill>
                  <a:latin typeface="Cambria" panose="02040503050406030204" pitchFamily="18" charset="0"/>
                  <a:ea typeface="Cambria" panose="02040503050406030204" pitchFamily="18" charset="0"/>
                </a:rPr>
                <a:t>E,max</a:t>
              </a:r>
              <a:r>
                <a:rPr lang="de-DE" sz="1800" i="1" baseline="0">
                  <a:solidFill>
                    <a:srgbClr val="000000"/>
                  </a:solidFill>
                  <a:latin typeface="Cambria" panose="02040503050406030204" pitchFamily="18" charset="0"/>
                  <a:ea typeface="Cambria" panose="02040503050406030204" pitchFamily="18" charset="0"/>
                </a:rPr>
                <a:t> = P</a:t>
              </a:r>
              <a:r>
                <a:rPr lang="de-DE" sz="1800" i="1" baseline="-25000">
                  <a:solidFill>
                    <a:srgbClr val="000000"/>
                  </a:solidFill>
                  <a:latin typeface="Cambria" panose="02040503050406030204" pitchFamily="18" charset="0"/>
                  <a:ea typeface="Cambria" panose="02040503050406030204" pitchFamily="18" charset="0"/>
                </a:rPr>
                <a:t>E,tE</a:t>
              </a:r>
            </a:p>
            <a:p>
              <a:pPr marL="342900" indent="-342900">
                <a:buClr>
                  <a:schemeClr val="tx1"/>
                </a:buClr>
                <a:buFont typeface="Wingdings" panose="05000000000000000000" pitchFamily="2" charset="2"/>
                <a:buChar char="Ø"/>
              </a:pPr>
              <a14:m>
                <m:oMath xmlns:m="http://schemas.openxmlformats.org/officeDocument/2006/math">
                  <m:r>
                    <a:rPr lang="de-DE" sz="1800" b="1" i="0" baseline="0">
                      <a:solidFill>
                        <a:sysClr val="windowText" lastClr="000000"/>
                      </a:solidFill>
                      <a:latin typeface="Cambria Math"/>
                    </a:rPr>
                    <m:t>𝐒𝐤𝐚𝐥𝐢𝐞𝐫𝐮𝐧𝐠𝐬𝐟𝐚𝐤𝐭𝐨𝐫</m:t>
                  </m:r>
                  <m:r>
                    <a:rPr lang="de-DE" sz="1800" b="1" i="1" baseline="0">
                      <a:solidFill>
                        <a:sysClr val="windowText" lastClr="000000"/>
                      </a:solidFill>
                      <a:latin typeface="Cambria Math"/>
                    </a:rPr>
                    <m:t> </m:t>
                  </m:r>
                  <m:r>
                    <a:rPr lang="de-DE" sz="1800" b="1" i="1" baseline="0">
                      <a:solidFill>
                        <a:sysClr val="windowText" lastClr="000000"/>
                      </a:solidFill>
                      <a:latin typeface="Cambria Math"/>
                    </a:rPr>
                    <m:t>𝒔</m:t>
                  </m:r>
                  <m:r>
                    <a:rPr lang="de-DE" sz="1800" b="1" i="1" baseline="0">
                      <a:solidFill>
                        <a:sysClr val="windowText" lastClr="000000"/>
                      </a:solidFill>
                      <a:latin typeface="Cambria Math"/>
                    </a:rPr>
                    <m:t>= </m:t>
                  </m:r>
                  <m:d>
                    <m:dPr>
                      <m:begChr m:val="{"/>
                      <m:endChr m:val=""/>
                      <m:ctrlPr>
                        <a:rPr lang="de-DE" sz="1800" b="1" i="1" baseline="0">
                          <a:solidFill>
                            <a:sysClr val="windowText" lastClr="000000"/>
                          </a:solidFill>
                          <a:latin typeface="Cambria Math" panose="02040503050406030204" pitchFamily="18" charset="0"/>
                        </a:rPr>
                      </m:ctrlPr>
                    </m:dPr>
                    <m:e>
                      <m:eqArr>
                        <m:eqArrPr>
                          <m:ctrlPr>
                            <a:rPr lang="de-DE" sz="1800" b="1" i="1" baseline="0">
                              <a:solidFill>
                                <a:sysClr val="windowText" lastClr="000000"/>
                              </a:solidFill>
                              <a:latin typeface="Cambria Math" panose="02040503050406030204" pitchFamily="18" charset="0"/>
                            </a:rPr>
                          </m:ctrlPr>
                        </m:eqArrPr>
                        <m:e>
                          <m:f>
                            <m:fPr>
                              <m:ctrlPr>
                                <a:rPr kumimoji="0" lang="de-DE" sz="1800" b="0" i="1" u="none" strike="noStrike" kern="0" cap="none" spc="0" normalizeH="0" baseline="0" noProof="0">
                                  <a:ln>
                                    <a:noFill/>
                                  </a:ln>
                                  <a:solidFill>
                                    <a:sysClr val="windowText" lastClr="000000"/>
                                  </a:solidFill>
                                  <a:effectLst/>
                                  <a:uLnTx/>
                                  <a:uFillTx/>
                                  <a:latin typeface="Cambria Math" panose="02040503050406030204" pitchFamily="18" charset="0"/>
                                  <a:ea typeface="+mn-ea"/>
                                  <a:cs typeface="+mn-cs"/>
                                </a:rPr>
                              </m:ctrlPr>
                            </m:fPr>
                            <m:num>
                              <m:r>
                                <m:rPr>
                                  <m:sty m:val="p"/>
                                </m:rPr>
                                <a:rPr kumimoji="0" lang="de-DE" sz="1800" b="0" i="0" u="none" strike="noStrike" kern="0" cap="none" spc="0" normalizeH="0" baseline="0" noProof="0">
                                  <a:ln>
                                    <a:noFill/>
                                  </a:ln>
                                  <a:solidFill>
                                    <a:srgbClr val="00B0F0"/>
                                  </a:solidFill>
                                  <a:effectLst/>
                                  <a:uLnTx/>
                                  <a:uFillTx/>
                                  <a:latin typeface="Cambria Math"/>
                                  <a:ea typeface="+mn-ea"/>
                                  <a:cs typeface="+mn-cs"/>
                                </a:rPr>
                                <m:t>tats</m:t>
                              </m:r>
                              <m:r>
                                <a:rPr kumimoji="0" lang="de-DE" sz="1800" b="0" i="0" u="none" strike="noStrike" kern="0" cap="none" spc="0" normalizeH="0" baseline="0" noProof="0">
                                  <a:ln>
                                    <a:noFill/>
                                  </a:ln>
                                  <a:solidFill>
                                    <a:srgbClr val="00B0F0"/>
                                  </a:solidFill>
                                  <a:effectLst/>
                                  <a:uLnTx/>
                                  <a:uFillTx/>
                                  <a:latin typeface="Cambria Math"/>
                                  <a:ea typeface="+mn-ea"/>
                                  <a:cs typeface="+mn-cs"/>
                                </a:rPr>
                                <m:t>ä</m:t>
                              </m:r>
                              <m:r>
                                <m:rPr>
                                  <m:sty m:val="p"/>
                                </m:rPr>
                                <a:rPr kumimoji="0" lang="de-DE" sz="1800" b="0" i="0" u="none" strike="noStrike" kern="0" cap="none" spc="0" normalizeH="0" baseline="0" noProof="0">
                                  <a:ln>
                                    <a:noFill/>
                                  </a:ln>
                                  <a:solidFill>
                                    <a:srgbClr val="00B0F0"/>
                                  </a:solidFill>
                                  <a:effectLst/>
                                  <a:uLnTx/>
                                  <a:uFillTx/>
                                  <a:latin typeface="Cambria Math"/>
                                  <a:ea typeface="+mn-ea"/>
                                  <a:cs typeface="+mn-cs"/>
                                </a:rPr>
                                <m:t>chlich</m:t>
                              </m:r>
                              <m:r>
                                <a:rPr kumimoji="0" lang="de-DE" sz="1800" b="0" i="0" u="none" strike="noStrike" kern="0" cap="none" spc="0" normalizeH="0" baseline="0" noProof="0">
                                  <a:ln>
                                    <a:noFill/>
                                  </a:ln>
                                  <a:solidFill>
                                    <a:srgbClr val="00B0F0"/>
                                  </a:solidFill>
                                  <a:effectLst/>
                                  <a:uLnTx/>
                                  <a:uFillTx/>
                                  <a:latin typeface="Cambria Math"/>
                                  <a:ea typeface="+mn-ea"/>
                                  <a:cs typeface="+mn-cs"/>
                                </a:rPr>
                                <m:t> </m:t>
                              </m:r>
                              <m:r>
                                <m:rPr>
                                  <m:sty m:val="p"/>
                                </m:rPr>
                                <a:rPr kumimoji="0" lang="de-DE" sz="1800" b="0" i="0" u="none" strike="noStrike" kern="0" cap="none" spc="0" normalizeH="0" baseline="0" noProof="0">
                                  <a:ln>
                                    <a:noFill/>
                                  </a:ln>
                                  <a:solidFill>
                                    <a:srgbClr val="00B0F0"/>
                                  </a:solidFill>
                                  <a:effectLst/>
                                  <a:uLnTx/>
                                  <a:uFillTx/>
                                  <a:latin typeface="Cambria Math"/>
                                  <a:ea typeface="+mn-ea"/>
                                  <a:cs typeface="+mn-cs"/>
                                </a:rPr>
                                <m:t>vermiedene</m:t>
                              </m:r>
                              <m:r>
                                <a:rPr kumimoji="0" lang="de-DE" sz="1800" b="0" i="0" u="none" strike="noStrike" kern="0" cap="none" spc="0" normalizeH="0" baseline="0" noProof="0">
                                  <a:ln>
                                    <a:noFill/>
                                  </a:ln>
                                  <a:solidFill>
                                    <a:srgbClr val="00B0F0"/>
                                  </a:solidFill>
                                  <a:effectLst/>
                                  <a:uLnTx/>
                                  <a:uFillTx/>
                                  <a:latin typeface="Cambria Math"/>
                                  <a:ea typeface="+mn-ea"/>
                                  <a:cs typeface="+mn-cs"/>
                                </a:rPr>
                                <m:t> </m:t>
                              </m:r>
                              <m:r>
                                <m:rPr>
                                  <m:sty m:val="p"/>
                                </m:rPr>
                                <a:rPr kumimoji="0" lang="de-DE" sz="1800" b="0" i="0" u="none" strike="noStrike" kern="0" cap="none" spc="0" normalizeH="0" baseline="0" noProof="0">
                                  <a:ln>
                                    <a:noFill/>
                                  </a:ln>
                                  <a:solidFill>
                                    <a:srgbClr val="00B0F0"/>
                                  </a:solidFill>
                                  <a:effectLst/>
                                  <a:uLnTx/>
                                  <a:uFillTx/>
                                  <a:latin typeface="Cambria Math"/>
                                  <a:ea typeface="+mn-ea"/>
                                  <a:cs typeface="+mn-cs"/>
                                </a:rPr>
                                <m:t>Leistung</m:t>
                              </m:r>
                            </m:num>
                            <m:den>
                              <m:r>
                                <m:rPr>
                                  <m:sty m:val="p"/>
                                </m:rPr>
                                <a:rPr kumimoji="0" lang="de-DE" sz="1800" b="0" i="0" u="none" strike="noStrike" kern="0" cap="none" spc="0" normalizeH="0" baseline="0" noProof="0">
                                  <a:ln>
                                    <a:noFill/>
                                  </a:ln>
                                  <a:solidFill>
                                    <a:srgbClr val="00B050"/>
                                  </a:solidFill>
                                  <a:effectLst/>
                                  <a:uLnTx/>
                                  <a:uFillTx/>
                                  <a:latin typeface="Cambria Math"/>
                                  <a:ea typeface="+mn-ea"/>
                                  <a:cs typeface="+mn-cs"/>
                                </a:rPr>
                                <m:t>Einspeiseleistung</m:t>
                              </m:r>
                              <m:r>
                                <a:rPr kumimoji="0" lang="de-DE" sz="1800" b="0" i="0" u="none" strike="noStrike" kern="0" cap="none" spc="0" normalizeH="0" baseline="0" noProof="0">
                                  <a:ln>
                                    <a:noFill/>
                                  </a:ln>
                                  <a:solidFill>
                                    <a:srgbClr val="00B050"/>
                                  </a:solidFill>
                                  <a:effectLst/>
                                  <a:uLnTx/>
                                  <a:uFillTx/>
                                  <a:latin typeface="Cambria Math"/>
                                  <a:ea typeface="+mn-ea"/>
                                  <a:cs typeface="+mn-cs"/>
                                </a:rPr>
                                <m:t> </m:t>
                              </m:r>
                              <m:r>
                                <m:rPr>
                                  <m:sty m:val="p"/>
                                </m:rPr>
                                <a:rPr kumimoji="0" lang="de-DE" sz="1800" b="0" i="0" u="none" strike="noStrike" kern="0" cap="none" spc="0" normalizeH="0" baseline="0" noProof="0">
                                  <a:ln>
                                    <a:noFill/>
                                  </a:ln>
                                  <a:solidFill>
                                    <a:srgbClr val="00B050"/>
                                  </a:solidFill>
                                  <a:effectLst/>
                                  <a:uLnTx/>
                                  <a:uFillTx/>
                                  <a:latin typeface="Cambria Math"/>
                                  <a:ea typeface="+mn-ea"/>
                                  <a:cs typeface="+mn-cs"/>
                                </a:rPr>
                                <m:t>zum</m:t>
                              </m:r>
                              <m:r>
                                <a:rPr kumimoji="0" lang="de-DE" sz="1800" b="0" i="0" u="none" strike="noStrike" kern="0" cap="none" spc="0" normalizeH="0" baseline="0" noProof="0">
                                  <a:ln>
                                    <a:noFill/>
                                  </a:ln>
                                  <a:solidFill>
                                    <a:srgbClr val="00B050"/>
                                  </a:solidFill>
                                  <a:effectLst/>
                                  <a:uLnTx/>
                                  <a:uFillTx/>
                                  <a:latin typeface="Cambria Math"/>
                                  <a:ea typeface="+mn-ea"/>
                                  <a:cs typeface="+mn-cs"/>
                                </a:rPr>
                                <m:t> </m:t>
                              </m:r>
                              <m:r>
                                <m:rPr>
                                  <m:sty m:val="p"/>
                                </m:rPr>
                                <a:rPr kumimoji="0" lang="de-DE" sz="1800" b="0" i="0" u="none" strike="noStrike" kern="0" cap="none" spc="0" normalizeH="0" baseline="0" noProof="0">
                                  <a:ln>
                                    <a:noFill/>
                                  </a:ln>
                                  <a:solidFill>
                                    <a:srgbClr val="00B050"/>
                                  </a:solidFill>
                                  <a:effectLst/>
                                  <a:uLnTx/>
                                  <a:uFillTx/>
                                  <a:latin typeface="Cambria Math"/>
                                  <a:ea typeface="+mn-ea"/>
                                  <a:cs typeface="+mn-cs"/>
                                </a:rPr>
                                <m:t>Zeitpunkt</m:t>
                              </m:r>
                              <m:r>
                                <a:rPr kumimoji="0" lang="de-DE" sz="1800" b="0" i="0" u="none" strike="noStrike" kern="0" cap="none" spc="0" normalizeH="0" baseline="0" noProof="0">
                                  <a:ln>
                                    <a:noFill/>
                                  </a:ln>
                                  <a:solidFill>
                                    <a:srgbClr val="00B050"/>
                                  </a:solidFill>
                                  <a:effectLst/>
                                  <a:uLnTx/>
                                  <a:uFillTx/>
                                  <a:latin typeface="Cambria Math"/>
                                  <a:ea typeface="+mn-ea"/>
                                  <a:cs typeface="+mn-cs"/>
                                </a:rPr>
                                <m:t> </m:t>
                              </m:r>
                              <m:r>
                                <m:rPr>
                                  <m:sty m:val="p"/>
                                </m:rPr>
                                <a:rPr kumimoji="0" lang="de-DE" sz="1800" b="0" i="0" u="none" strike="noStrike" kern="0" cap="none" spc="0" normalizeH="0" baseline="0" noProof="0">
                                  <a:ln>
                                    <a:noFill/>
                                  </a:ln>
                                  <a:solidFill>
                                    <a:srgbClr val="00B050"/>
                                  </a:solidFill>
                                  <a:effectLst/>
                                  <a:uLnTx/>
                                  <a:uFillTx/>
                                  <a:latin typeface="Cambria Math"/>
                                  <a:ea typeface="+mn-ea"/>
                                  <a:cs typeface="+mn-cs"/>
                                </a:rPr>
                                <m:t>der</m:t>
                              </m:r>
                              <m:r>
                                <a:rPr kumimoji="0" lang="de-DE" sz="1800" b="0" i="0" u="none" strike="noStrike" kern="0" cap="none" spc="0" normalizeH="0" baseline="0" noProof="0">
                                  <a:ln>
                                    <a:noFill/>
                                  </a:ln>
                                  <a:solidFill>
                                    <a:srgbClr val="00B050"/>
                                  </a:solidFill>
                                  <a:effectLst/>
                                  <a:uLnTx/>
                                  <a:uFillTx/>
                                  <a:latin typeface="Cambria Math"/>
                                  <a:ea typeface="+mn-ea"/>
                                  <a:cs typeface="+mn-cs"/>
                                </a:rPr>
                                <m:t> </m:t>
                              </m:r>
                              <m:r>
                                <m:rPr>
                                  <m:sty m:val="p"/>
                                </m:rPr>
                                <a:rPr kumimoji="0" lang="de-DE" sz="1800" b="0" i="0" u="none" strike="noStrike" kern="0" cap="none" spc="0" normalizeH="0" baseline="0" noProof="0">
                                  <a:ln>
                                    <a:noFill/>
                                  </a:ln>
                                  <a:solidFill>
                                    <a:srgbClr val="00B050"/>
                                  </a:solidFill>
                                  <a:effectLst/>
                                  <a:uLnTx/>
                                  <a:uFillTx/>
                                  <a:latin typeface="Cambria Math"/>
                                  <a:ea typeface="+mn-ea"/>
                                  <a:cs typeface="+mn-cs"/>
                                </a:rPr>
                                <m:t>Entnahmeh</m:t>
                              </m:r>
                              <m:r>
                                <a:rPr kumimoji="0" lang="de-DE" sz="1800" b="0" i="0" u="none" strike="noStrike" kern="0" cap="none" spc="0" normalizeH="0" baseline="0" noProof="0">
                                  <a:ln>
                                    <a:noFill/>
                                  </a:ln>
                                  <a:solidFill>
                                    <a:srgbClr val="00B050"/>
                                  </a:solidFill>
                                  <a:effectLst/>
                                  <a:uLnTx/>
                                  <a:uFillTx/>
                                  <a:latin typeface="Cambria Math"/>
                                  <a:ea typeface="+mn-ea"/>
                                  <a:cs typeface="+mn-cs"/>
                                </a:rPr>
                                <m:t>ö</m:t>
                              </m:r>
                              <m:r>
                                <m:rPr>
                                  <m:sty m:val="p"/>
                                </m:rPr>
                                <a:rPr kumimoji="0" lang="de-DE" sz="1800" b="0" i="0" u="none" strike="noStrike" kern="0" cap="none" spc="0" normalizeH="0" baseline="0" noProof="0">
                                  <a:ln>
                                    <a:noFill/>
                                  </a:ln>
                                  <a:solidFill>
                                    <a:srgbClr val="00B050"/>
                                  </a:solidFill>
                                  <a:effectLst/>
                                  <a:uLnTx/>
                                  <a:uFillTx/>
                                  <a:latin typeface="Cambria Math"/>
                                  <a:ea typeface="+mn-ea"/>
                                  <a:cs typeface="+mn-cs"/>
                                </a:rPr>
                                <m:t>chstlast</m:t>
                              </m:r>
                            </m:den>
                          </m:f>
                          <m:r>
                            <a:rPr kumimoji="0" lang="de-DE" sz="1800" b="0" i="0" u="none" strike="noStrike" kern="0" cap="none" spc="0" normalizeH="0" baseline="0" noProof="0">
                              <a:ln>
                                <a:noFill/>
                              </a:ln>
                              <a:solidFill>
                                <a:sysClr val="windowText" lastClr="000000"/>
                              </a:solidFill>
                              <a:effectLst/>
                              <a:uLnTx/>
                              <a:uFillTx/>
                              <a:latin typeface="Cambria Math"/>
                              <a:ea typeface="+mn-ea"/>
                              <a:cs typeface="+mn-cs"/>
                            </a:rPr>
                            <m:t>=</m:t>
                          </m:r>
                          <m:f>
                            <m:fPr>
                              <m:ctrlPr>
                                <a:rPr kumimoji="0" lang="de-DE" sz="1800" b="0" i="1" u="none" strike="noStrike" kern="0" cap="none" spc="0" normalizeH="0" baseline="0" noProof="0">
                                  <a:ln>
                                    <a:noFill/>
                                  </a:ln>
                                  <a:solidFill>
                                    <a:sysClr val="windowText" lastClr="000000"/>
                                  </a:solidFill>
                                  <a:effectLst/>
                                  <a:uLnTx/>
                                  <a:uFillTx/>
                                  <a:latin typeface="Cambria Math" panose="02040503050406030204" pitchFamily="18" charset="0"/>
                                  <a:ea typeface="+mn-ea"/>
                                  <a:cs typeface="+mn-cs"/>
                                </a:rPr>
                              </m:ctrlPr>
                            </m:fPr>
                            <m:num>
                              <m:sSub>
                                <m:sSubPr>
                                  <m:ctrlPr>
                                    <a:rPr kumimoji="0" lang="de-DE" sz="1800" b="0" i="1" u="none" strike="noStrike" kern="0" cap="none" spc="0" normalizeH="0" baseline="0" noProof="0">
                                      <a:ln>
                                        <a:noFill/>
                                      </a:ln>
                                      <a:solidFill>
                                        <a:srgbClr val="00B0F0"/>
                                      </a:solidFill>
                                      <a:effectLst/>
                                      <a:uLnTx/>
                                      <a:uFillTx/>
                                      <a:latin typeface="Cambria Math" panose="02040503050406030204" pitchFamily="18" charset="0"/>
                                      <a:ea typeface="+mn-ea"/>
                                      <a:cs typeface="+mn-cs"/>
                                    </a:rPr>
                                  </m:ctrlPr>
                                </m:sSubPr>
                                <m:e>
                                  <m:r>
                                    <a:rPr kumimoji="0" lang="de-DE" sz="1800" b="0" i="1" u="none" strike="noStrike" kern="0" cap="none" spc="0" normalizeH="0" baseline="0" noProof="0">
                                      <a:ln>
                                        <a:noFill/>
                                      </a:ln>
                                      <a:solidFill>
                                        <a:srgbClr val="00B0F0"/>
                                      </a:solidFill>
                                      <a:effectLst/>
                                      <a:uLnTx/>
                                      <a:uFillTx/>
                                      <a:latin typeface="Cambria Math"/>
                                      <a:ea typeface="+mn-ea"/>
                                      <a:cs typeface="+mn-cs"/>
                                    </a:rPr>
                                    <m:t>𝑃</m:t>
                                  </m:r>
                                </m:e>
                                <m:sub>
                                  <m:r>
                                    <a:rPr kumimoji="0" lang="de-DE" sz="1800" b="0" i="1" u="none" strike="noStrike" kern="0" cap="none" spc="0" normalizeH="0" baseline="0" noProof="0">
                                      <a:ln>
                                        <a:noFill/>
                                      </a:ln>
                                      <a:solidFill>
                                        <a:srgbClr val="00B0F0"/>
                                      </a:solidFill>
                                      <a:effectLst/>
                                      <a:uLnTx/>
                                      <a:uFillTx/>
                                      <a:latin typeface="Cambria Math"/>
                                      <a:ea typeface="+mn-ea"/>
                                      <a:cs typeface="+mn-cs"/>
                                    </a:rPr>
                                    <m:t>𝑣𝑒𝑟𝑚</m:t>
                                  </m:r>
                                  <m:r>
                                    <a:rPr kumimoji="0" lang="de-DE" sz="1800" b="0" i="1" u="none" strike="noStrike" kern="0" cap="none" spc="0" normalizeH="0" baseline="0" noProof="0">
                                      <a:ln>
                                        <a:noFill/>
                                      </a:ln>
                                      <a:solidFill>
                                        <a:srgbClr val="00B0F0"/>
                                      </a:solidFill>
                                      <a:effectLst/>
                                      <a:uLnTx/>
                                      <a:uFillTx/>
                                      <a:latin typeface="Cambria Math"/>
                                      <a:ea typeface="+mn-ea"/>
                                      <a:cs typeface="+mn-cs"/>
                                    </a:rPr>
                                    <m:t>,</m:t>
                                  </m:r>
                                  <m:r>
                                    <a:rPr kumimoji="0" lang="de-DE" sz="1800" b="0" i="1" u="none" strike="noStrike" kern="0" cap="none" spc="0" normalizeH="0" baseline="0" noProof="0">
                                      <a:ln>
                                        <a:noFill/>
                                      </a:ln>
                                      <a:solidFill>
                                        <a:srgbClr val="00B0F0"/>
                                      </a:solidFill>
                                      <a:effectLst/>
                                      <a:uLnTx/>
                                      <a:uFillTx/>
                                      <a:latin typeface="Cambria Math"/>
                                      <a:ea typeface="+mn-ea"/>
                                      <a:cs typeface="+mn-cs"/>
                                    </a:rPr>
                                    <m:t>𝑡𝑎𝑡</m:t>
                                  </m:r>
                                </m:sub>
                              </m:sSub>
                            </m:num>
                            <m:den>
                              <m:sSub>
                                <m:sSubPr>
                                  <m:ctrlPr>
                                    <a:rPr kumimoji="0" lang="de-DE" sz="1800" b="0" i="1" u="none" strike="noStrike" kern="0" cap="none" spc="0" normalizeH="0" baseline="0" noProof="0">
                                      <a:ln>
                                        <a:noFill/>
                                      </a:ln>
                                      <a:solidFill>
                                        <a:srgbClr val="00B050"/>
                                      </a:solidFill>
                                      <a:effectLst/>
                                      <a:uLnTx/>
                                      <a:uFillTx/>
                                      <a:latin typeface="Cambria Math" panose="02040503050406030204" pitchFamily="18" charset="0"/>
                                      <a:ea typeface="+mn-ea"/>
                                      <a:cs typeface="+mn-cs"/>
                                    </a:rPr>
                                  </m:ctrlPr>
                                </m:sSubPr>
                                <m:e>
                                  <m:r>
                                    <a:rPr kumimoji="0" lang="de-DE" sz="1800" b="0" i="1" u="none" strike="noStrike" kern="0" cap="none" spc="0" normalizeH="0" baseline="0" noProof="0">
                                      <a:ln>
                                        <a:noFill/>
                                      </a:ln>
                                      <a:solidFill>
                                        <a:srgbClr val="00B050"/>
                                      </a:solidFill>
                                      <a:effectLst/>
                                      <a:uLnTx/>
                                      <a:uFillTx/>
                                      <a:latin typeface="Cambria Math"/>
                                      <a:ea typeface="+mn-ea"/>
                                      <a:cs typeface="+mn-cs"/>
                                    </a:rPr>
                                    <m:t>𝑃</m:t>
                                  </m:r>
                                </m:e>
                                <m:sub>
                                  <m:r>
                                    <a:rPr kumimoji="0" lang="de-DE" sz="1800" b="0" i="1" u="none" strike="noStrike" kern="0" cap="none" spc="0" normalizeH="0" baseline="0" noProof="0">
                                      <a:ln>
                                        <a:noFill/>
                                      </a:ln>
                                      <a:solidFill>
                                        <a:srgbClr val="00B050"/>
                                      </a:solidFill>
                                      <a:effectLst/>
                                      <a:uLnTx/>
                                      <a:uFillTx/>
                                      <a:latin typeface="Cambria Math"/>
                                      <a:ea typeface="+mn-ea"/>
                                      <a:cs typeface="+mn-cs"/>
                                    </a:rPr>
                                    <m:t>𝐷</m:t>
                                  </m:r>
                                  <m:r>
                                    <a:rPr kumimoji="0" lang="de-DE" sz="1800" b="0" i="1" u="none" strike="noStrike" kern="0" cap="none" spc="0" normalizeH="0" baseline="0" noProof="0">
                                      <a:ln>
                                        <a:noFill/>
                                      </a:ln>
                                      <a:solidFill>
                                        <a:srgbClr val="00B050"/>
                                      </a:solidFill>
                                      <a:effectLst/>
                                      <a:uLnTx/>
                                      <a:uFillTx/>
                                      <a:latin typeface="Cambria Math"/>
                                      <a:ea typeface="+mn-ea"/>
                                      <a:cs typeface="+mn-cs"/>
                                    </a:rPr>
                                    <m:t>,</m:t>
                                  </m:r>
                                  <m:r>
                                    <a:rPr kumimoji="0" lang="de-DE" sz="1800" b="0" i="1" u="none" strike="noStrike" kern="0" cap="none" spc="0" normalizeH="0" baseline="0" noProof="0">
                                      <a:ln>
                                        <a:noFill/>
                                      </a:ln>
                                      <a:solidFill>
                                        <a:srgbClr val="00B050"/>
                                      </a:solidFill>
                                      <a:effectLst/>
                                      <a:uLnTx/>
                                      <a:uFillTx/>
                                      <a:latin typeface="Cambria Math"/>
                                      <a:ea typeface="+mn-ea"/>
                                      <a:cs typeface="+mn-cs"/>
                                    </a:rPr>
                                    <m:t>𝑡𝐸</m:t>
                                  </m:r>
                                </m:sub>
                              </m:sSub>
                              <m:r>
                                <a:rPr kumimoji="0" lang="de-DE" sz="1800" b="0" i="1" u="none" strike="noStrike" kern="0" cap="none" spc="0" normalizeH="0" baseline="0" noProof="0">
                                  <a:ln>
                                    <a:noFill/>
                                  </a:ln>
                                  <a:solidFill>
                                    <a:srgbClr val="00B050"/>
                                  </a:solidFill>
                                  <a:effectLst/>
                                  <a:uLnTx/>
                                  <a:uFillTx/>
                                  <a:latin typeface="Cambria Math"/>
                                  <a:ea typeface="+mn-ea"/>
                                  <a:cs typeface="+mn-cs"/>
                                </a:rPr>
                                <m:t> +</m:t>
                              </m:r>
                              <m:sSub>
                                <m:sSubPr>
                                  <m:ctrlPr>
                                    <a:rPr kumimoji="0" lang="de-DE" sz="1800" b="0" i="1" u="none" strike="noStrike" kern="0" cap="none" spc="0" normalizeH="0" baseline="0" noProof="0">
                                      <a:ln>
                                        <a:noFill/>
                                      </a:ln>
                                      <a:solidFill>
                                        <a:srgbClr val="00B050"/>
                                      </a:solidFill>
                                      <a:effectLst/>
                                      <a:uLnTx/>
                                      <a:uFillTx/>
                                      <a:latin typeface="Cambria Math" panose="02040503050406030204" pitchFamily="18" charset="0"/>
                                      <a:ea typeface="+mn-ea"/>
                                      <a:cs typeface="+mn-cs"/>
                                    </a:rPr>
                                  </m:ctrlPr>
                                </m:sSubPr>
                                <m:e>
                                  <m:r>
                                    <a:rPr kumimoji="0" lang="de-DE" sz="1800" b="0" i="1" u="none" strike="noStrike" kern="0" cap="none" spc="0" normalizeH="0" baseline="0" noProof="0">
                                      <a:ln>
                                        <a:noFill/>
                                      </a:ln>
                                      <a:solidFill>
                                        <a:srgbClr val="00B050"/>
                                      </a:solidFill>
                                      <a:effectLst/>
                                      <a:uLnTx/>
                                      <a:uFillTx/>
                                      <a:latin typeface="Cambria Math"/>
                                      <a:ea typeface="+mn-ea"/>
                                      <a:cs typeface="+mn-cs"/>
                                    </a:rPr>
                                    <m:t> </m:t>
                                  </m:r>
                                  <m:r>
                                    <a:rPr kumimoji="0" lang="de-DE" sz="1800" b="0" i="1" u="none" strike="noStrike" kern="0" cap="none" spc="0" normalizeH="0" baseline="0" noProof="0">
                                      <a:ln>
                                        <a:noFill/>
                                      </a:ln>
                                      <a:solidFill>
                                        <a:srgbClr val="00B050"/>
                                      </a:solidFill>
                                      <a:effectLst/>
                                      <a:uLnTx/>
                                      <a:uFillTx/>
                                      <a:latin typeface="Cambria Math"/>
                                      <a:ea typeface="+mn-ea"/>
                                      <a:cs typeface="+mn-cs"/>
                                    </a:rPr>
                                    <m:t>𝑃</m:t>
                                  </m:r>
                                </m:e>
                                <m:sub>
                                  <m:r>
                                    <a:rPr kumimoji="0" lang="de-DE" sz="1800" b="0" i="1" u="none" strike="noStrike" kern="0" cap="none" spc="0" normalizeH="0" baseline="0" noProof="0">
                                      <a:ln>
                                        <a:noFill/>
                                      </a:ln>
                                      <a:solidFill>
                                        <a:srgbClr val="00B050"/>
                                      </a:solidFill>
                                      <a:effectLst/>
                                      <a:uLnTx/>
                                      <a:uFillTx/>
                                      <a:latin typeface="Cambria Math"/>
                                      <a:ea typeface="+mn-ea"/>
                                      <a:cs typeface="+mn-cs"/>
                                    </a:rPr>
                                    <m:t>𝑅</m:t>
                                  </m:r>
                                  <m:r>
                                    <a:rPr kumimoji="0" lang="de-DE" sz="1800" b="0" i="1" u="none" strike="noStrike" kern="0" cap="none" spc="0" normalizeH="0" baseline="0" noProof="0">
                                      <a:ln>
                                        <a:noFill/>
                                      </a:ln>
                                      <a:solidFill>
                                        <a:srgbClr val="00B050"/>
                                      </a:solidFill>
                                      <a:effectLst/>
                                      <a:uLnTx/>
                                      <a:uFillTx/>
                                      <a:latin typeface="Cambria Math"/>
                                      <a:ea typeface="+mn-ea"/>
                                      <a:cs typeface="+mn-cs"/>
                                    </a:rPr>
                                    <m:t>,</m:t>
                                  </m:r>
                                  <m:r>
                                    <a:rPr kumimoji="0" lang="de-DE" sz="1800" b="0" i="1" u="none" strike="noStrike" kern="0" cap="none" spc="0" normalizeH="0" baseline="0" noProof="0">
                                      <a:ln>
                                        <a:noFill/>
                                      </a:ln>
                                      <a:solidFill>
                                        <a:srgbClr val="00B050"/>
                                      </a:solidFill>
                                      <a:effectLst/>
                                      <a:uLnTx/>
                                      <a:uFillTx/>
                                      <a:latin typeface="Cambria Math"/>
                                      <a:ea typeface="+mn-ea"/>
                                      <a:cs typeface="+mn-cs"/>
                                    </a:rPr>
                                    <m:t>𝑡𝐸</m:t>
                                  </m:r>
                                </m:sub>
                              </m:sSub>
                            </m:den>
                          </m:f>
                          <m:r>
                            <a:rPr kumimoji="0" lang="de-DE" sz="1800" b="0" i="0" u="none" strike="noStrike" kern="0" cap="none" spc="0" normalizeH="0" baseline="0" noProof="0">
                              <a:ln>
                                <a:noFill/>
                              </a:ln>
                              <a:solidFill>
                                <a:sysClr val="windowText" lastClr="000000"/>
                              </a:solidFill>
                              <a:effectLst/>
                              <a:uLnTx/>
                              <a:uFillTx/>
                              <a:latin typeface="Cambria Math"/>
                              <a:ea typeface="+mn-ea"/>
                              <a:cs typeface="+mn-cs"/>
                            </a:rPr>
                            <m:t>= </m:t>
                          </m:r>
                          <m:f>
                            <m:fPr>
                              <m:ctrlPr>
                                <a:rPr kumimoji="0" lang="de-DE" sz="1800" b="0" i="1" u="none" strike="noStrike" kern="0" cap="none" spc="0" normalizeH="0" baseline="0" noProof="0">
                                  <a:ln>
                                    <a:noFill/>
                                  </a:ln>
                                  <a:solidFill>
                                    <a:sysClr val="windowText" lastClr="000000"/>
                                  </a:solidFill>
                                  <a:effectLst/>
                                  <a:uLnTx/>
                                  <a:uFillTx/>
                                  <a:latin typeface="Cambria Math" panose="02040503050406030204" pitchFamily="18" charset="0"/>
                                  <a:ea typeface="+mn-ea"/>
                                  <a:cs typeface="+mn-cs"/>
                                </a:rPr>
                              </m:ctrlPr>
                            </m:fPr>
                            <m:num>
                              <m:sSub>
                                <m:sSubPr>
                                  <m:ctrlPr>
                                    <a:rPr kumimoji="0" lang="de-DE" sz="1800" b="0" i="1" u="none" strike="noStrike" kern="0" cap="none" spc="0" normalizeH="0" baseline="0" noProof="0">
                                      <a:ln>
                                        <a:noFill/>
                                      </a:ln>
                                      <a:solidFill>
                                        <a:srgbClr val="00B0F0"/>
                                      </a:solidFill>
                                      <a:effectLst/>
                                      <a:uLnTx/>
                                      <a:uFillTx/>
                                      <a:latin typeface="Cambria Math" panose="02040503050406030204" pitchFamily="18" charset="0"/>
                                      <a:ea typeface="+mn-ea"/>
                                      <a:cs typeface="+mn-cs"/>
                                    </a:rPr>
                                  </m:ctrlPr>
                                </m:sSubPr>
                                <m:e>
                                  <m:r>
                                    <a:rPr kumimoji="0" lang="de-DE" sz="1800" b="0" i="1" u="none" strike="noStrike" kern="0" cap="none" spc="0" normalizeH="0" baseline="0" noProof="0">
                                      <a:ln>
                                        <a:noFill/>
                                      </a:ln>
                                      <a:solidFill>
                                        <a:srgbClr val="00B0F0"/>
                                      </a:solidFill>
                                      <a:effectLst/>
                                      <a:uLnTx/>
                                      <a:uFillTx/>
                                      <a:latin typeface="Cambria Math"/>
                                      <a:ea typeface="+mn-ea"/>
                                      <a:cs typeface="+mn-cs"/>
                                    </a:rPr>
                                    <m:t>𝑃</m:t>
                                  </m:r>
                                </m:e>
                                <m:sub>
                                  <m:r>
                                    <a:rPr kumimoji="0" lang="de-DE" sz="1800" b="0" i="1" u="none" strike="noStrike" kern="0" cap="none" spc="0" normalizeH="0" baseline="0" noProof="0">
                                      <a:ln>
                                        <a:noFill/>
                                      </a:ln>
                                      <a:solidFill>
                                        <a:srgbClr val="00B0F0"/>
                                      </a:solidFill>
                                      <a:effectLst/>
                                      <a:uLnTx/>
                                      <a:uFillTx/>
                                      <a:latin typeface="Cambria Math"/>
                                      <a:ea typeface="+mn-ea"/>
                                      <a:cs typeface="+mn-cs"/>
                                    </a:rPr>
                                    <m:t>𝑣𝑒𝑟𝑚</m:t>
                                  </m:r>
                                  <m:r>
                                    <a:rPr kumimoji="0" lang="de-DE" sz="1800" b="0" i="1" u="none" strike="noStrike" kern="0" cap="none" spc="0" normalizeH="0" baseline="0" noProof="0">
                                      <a:ln>
                                        <a:noFill/>
                                      </a:ln>
                                      <a:solidFill>
                                        <a:srgbClr val="00B0F0"/>
                                      </a:solidFill>
                                      <a:effectLst/>
                                      <a:uLnTx/>
                                      <a:uFillTx/>
                                      <a:latin typeface="Cambria Math"/>
                                      <a:ea typeface="+mn-ea"/>
                                      <a:cs typeface="+mn-cs"/>
                                    </a:rPr>
                                    <m:t>,</m:t>
                                  </m:r>
                                  <m:r>
                                    <a:rPr kumimoji="0" lang="de-DE" sz="1800" b="0" i="1" u="none" strike="noStrike" kern="0" cap="none" spc="0" normalizeH="0" baseline="0" noProof="0">
                                      <a:ln>
                                        <a:noFill/>
                                      </a:ln>
                                      <a:solidFill>
                                        <a:srgbClr val="00B0F0"/>
                                      </a:solidFill>
                                      <a:effectLst/>
                                      <a:uLnTx/>
                                      <a:uFillTx/>
                                      <a:latin typeface="Cambria Math"/>
                                      <a:ea typeface="+mn-ea"/>
                                      <a:cs typeface="+mn-cs"/>
                                    </a:rPr>
                                    <m:t>𝑡𝑎𝑡</m:t>
                                  </m:r>
                                </m:sub>
                              </m:sSub>
                            </m:num>
                            <m:den>
                              <m:sSub>
                                <m:sSubPr>
                                  <m:ctrlPr>
                                    <a:rPr kumimoji="0" lang="de-DE" sz="1800" b="0" i="1" u="none" strike="noStrike" kern="0" cap="none" spc="0" normalizeH="0" baseline="0" noProof="0">
                                      <a:ln>
                                        <a:noFill/>
                                      </a:ln>
                                      <a:solidFill>
                                        <a:srgbClr val="00B050"/>
                                      </a:solidFill>
                                      <a:effectLst/>
                                      <a:uLnTx/>
                                      <a:uFillTx/>
                                      <a:latin typeface="Cambria Math" panose="02040503050406030204" pitchFamily="18" charset="0"/>
                                      <a:ea typeface="+mn-ea"/>
                                      <a:cs typeface="+mn-cs"/>
                                    </a:rPr>
                                  </m:ctrlPr>
                                </m:sSubPr>
                                <m:e>
                                  <m:r>
                                    <a:rPr kumimoji="0" lang="de-DE" sz="1800" b="0" i="1" u="none" strike="noStrike" kern="0" cap="none" spc="0" normalizeH="0" baseline="0" noProof="0">
                                      <a:ln>
                                        <a:noFill/>
                                      </a:ln>
                                      <a:solidFill>
                                        <a:srgbClr val="00B050"/>
                                      </a:solidFill>
                                      <a:effectLst/>
                                      <a:uLnTx/>
                                      <a:uFillTx/>
                                      <a:latin typeface="Cambria Math"/>
                                      <a:ea typeface="+mn-ea"/>
                                      <a:cs typeface="+mn-cs"/>
                                    </a:rPr>
                                    <m:t>𝑃</m:t>
                                  </m:r>
                                </m:e>
                                <m:sub>
                                  <m:r>
                                    <a:rPr kumimoji="0" lang="de-DE" sz="1800" b="0" i="1" u="none" strike="noStrike" kern="0" cap="none" spc="0" normalizeH="0" baseline="0" noProof="0">
                                      <a:ln>
                                        <a:noFill/>
                                      </a:ln>
                                      <a:solidFill>
                                        <a:srgbClr val="00B050"/>
                                      </a:solidFill>
                                      <a:effectLst/>
                                      <a:uLnTx/>
                                      <a:uFillTx/>
                                      <a:latin typeface="Cambria Math"/>
                                      <a:ea typeface="+mn-ea"/>
                                      <a:cs typeface="+mn-cs"/>
                                    </a:rPr>
                                    <m:t>𝐸</m:t>
                                  </m:r>
                                  <m:r>
                                    <a:rPr kumimoji="0" lang="de-DE" sz="1800" b="0" i="1" u="none" strike="noStrike" kern="0" cap="none" spc="0" normalizeH="0" baseline="0" noProof="0">
                                      <a:ln>
                                        <a:noFill/>
                                      </a:ln>
                                      <a:solidFill>
                                        <a:srgbClr val="00B050"/>
                                      </a:solidFill>
                                      <a:effectLst/>
                                      <a:uLnTx/>
                                      <a:uFillTx/>
                                      <a:latin typeface="Cambria Math"/>
                                      <a:ea typeface="+mn-ea"/>
                                      <a:cs typeface="+mn-cs"/>
                                    </a:rPr>
                                    <m:t>,</m:t>
                                  </m:r>
                                  <m:r>
                                    <a:rPr kumimoji="0" lang="de-DE" sz="1800" b="0" i="1" u="none" strike="noStrike" kern="0" cap="none" spc="0" normalizeH="0" baseline="0" noProof="0">
                                      <a:ln>
                                        <a:noFill/>
                                      </a:ln>
                                      <a:solidFill>
                                        <a:srgbClr val="00B050"/>
                                      </a:solidFill>
                                      <a:effectLst/>
                                      <a:uLnTx/>
                                      <a:uFillTx/>
                                      <a:latin typeface="Cambria Math"/>
                                      <a:ea typeface="+mn-ea"/>
                                      <a:cs typeface="+mn-cs"/>
                                    </a:rPr>
                                    <m:t>𝑡𝐸</m:t>
                                  </m:r>
                                </m:sub>
                              </m:sSub>
                              <m:r>
                                <a:rPr kumimoji="0" lang="de-DE" sz="1800" b="0" i="1" u="none" strike="noStrike" kern="0" cap="none" spc="0" normalizeH="0" baseline="0" noProof="0">
                                  <a:ln>
                                    <a:noFill/>
                                  </a:ln>
                                  <a:solidFill>
                                    <a:srgbClr val="00B050"/>
                                  </a:solidFill>
                                  <a:effectLst/>
                                  <a:uLnTx/>
                                  <a:uFillTx/>
                                  <a:latin typeface="Cambria Math"/>
                                  <a:ea typeface="+mn-ea"/>
                                  <a:cs typeface="+mn-cs"/>
                                </a:rPr>
                                <m:t> +</m:t>
                              </m:r>
                              <m:sSub>
                                <m:sSubPr>
                                  <m:ctrlPr>
                                    <a:rPr kumimoji="0" lang="de-DE" sz="1800" b="0" i="1" u="none" strike="noStrike" kern="0" cap="none" spc="0" normalizeH="0" baseline="0" noProof="0">
                                      <a:ln>
                                        <a:noFill/>
                                      </a:ln>
                                      <a:solidFill>
                                        <a:srgbClr val="00B050"/>
                                      </a:solidFill>
                                      <a:effectLst/>
                                      <a:uLnTx/>
                                      <a:uFillTx/>
                                      <a:latin typeface="Cambria Math" panose="02040503050406030204" pitchFamily="18" charset="0"/>
                                      <a:ea typeface="+mn-ea"/>
                                      <a:cs typeface="+mn-cs"/>
                                    </a:rPr>
                                  </m:ctrlPr>
                                </m:sSubPr>
                                <m:e>
                                  <m:r>
                                    <a:rPr kumimoji="0" lang="de-DE" sz="1800" b="0" i="1" u="none" strike="noStrike" kern="0" cap="none" spc="0" normalizeH="0" baseline="0" noProof="0">
                                      <a:ln>
                                        <a:noFill/>
                                      </a:ln>
                                      <a:solidFill>
                                        <a:srgbClr val="00B050"/>
                                      </a:solidFill>
                                      <a:effectLst/>
                                      <a:uLnTx/>
                                      <a:uFillTx/>
                                      <a:latin typeface="Cambria Math"/>
                                      <a:ea typeface="+mn-ea"/>
                                      <a:cs typeface="+mn-cs"/>
                                    </a:rPr>
                                    <m:t> </m:t>
                                  </m:r>
                                  <m:r>
                                    <a:rPr kumimoji="0" lang="de-DE" sz="1800" b="0" i="1" u="none" strike="noStrike" kern="0" cap="none" spc="0" normalizeH="0" baseline="0" noProof="0">
                                      <a:ln>
                                        <a:noFill/>
                                      </a:ln>
                                      <a:solidFill>
                                        <a:srgbClr val="00B050"/>
                                      </a:solidFill>
                                      <a:effectLst/>
                                      <a:uLnTx/>
                                      <a:uFillTx/>
                                      <a:latin typeface="Cambria Math"/>
                                      <a:ea typeface="+mn-ea"/>
                                      <a:cs typeface="+mn-cs"/>
                                    </a:rPr>
                                    <m:t>𝑃</m:t>
                                  </m:r>
                                </m:e>
                                <m:sub>
                                  <m:r>
                                    <a:rPr kumimoji="0" lang="de-DE" sz="1800" b="0" i="1" u="none" strike="noStrike" kern="0" cap="none" spc="0" normalizeH="0" baseline="0" noProof="0">
                                      <a:ln>
                                        <a:noFill/>
                                      </a:ln>
                                      <a:solidFill>
                                        <a:srgbClr val="00B050"/>
                                      </a:solidFill>
                                      <a:effectLst/>
                                      <a:uLnTx/>
                                      <a:uFillTx/>
                                      <a:latin typeface="Cambria Math"/>
                                      <a:ea typeface="+mn-ea"/>
                                      <a:cs typeface="+mn-cs"/>
                                    </a:rPr>
                                    <m:t>𝐴</m:t>
                                  </m:r>
                                  <m:r>
                                    <a:rPr kumimoji="0" lang="de-DE" sz="1800" b="0" i="1" u="none" strike="noStrike" kern="0" cap="none" spc="0" normalizeH="0" baseline="0" noProof="0">
                                      <a:ln>
                                        <a:noFill/>
                                      </a:ln>
                                      <a:solidFill>
                                        <a:srgbClr val="00B050"/>
                                      </a:solidFill>
                                      <a:effectLst/>
                                      <a:uLnTx/>
                                      <a:uFillTx/>
                                      <a:latin typeface="Cambria Math"/>
                                      <a:ea typeface="+mn-ea"/>
                                      <a:cs typeface="+mn-cs"/>
                                    </a:rPr>
                                    <m:t>,</m:t>
                                  </m:r>
                                  <m:r>
                                    <a:rPr kumimoji="0" lang="de-DE" sz="1800" b="0" i="1" u="none" strike="noStrike" kern="0" cap="none" spc="0" normalizeH="0" baseline="0" noProof="0">
                                      <a:ln>
                                        <a:noFill/>
                                      </a:ln>
                                      <a:solidFill>
                                        <a:srgbClr val="00B050"/>
                                      </a:solidFill>
                                      <a:effectLst/>
                                      <a:uLnTx/>
                                      <a:uFillTx/>
                                      <a:latin typeface="Cambria Math"/>
                                      <a:ea typeface="+mn-ea"/>
                                      <a:cs typeface="+mn-cs"/>
                                    </a:rPr>
                                    <m:t>𝑡𝐸</m:t>
                                  </m:r>
                                </m:sub>
                              </m:sSub>
                              <m:r>
                                <a:rPr kumimoji="0" lang="de-DE" sz="1800" b="0" i="1" u="none" strike="noStrike" kern="0" cap="none" spc="0" normalizeH="0" baseline="0" noProof="0">
                                  <a:ln>
                                    <a:noFill/>
                                  </a:ln>
                                  <a:solidFill>
                                    <a:srgbClr val="00B050"/>
                                  </a:solidFill>
                                  <a:effectLst/>
                                  <a:uLnTx/>
                                  <a:uFillTx/>
                                  <a:latin typeface="Cambria Math"/>
                                  <a:ea typeface="+mn-ea"/>
                                  <a:cs typeface="+mn-cs"/>
                                </a:rPr>
                                <m:t> −</m:t>
                              </m:r>
                              <m:sSub>
                                <m:sSubPr>
                                  <m:ctrlPr>
                                    <a:rPr kumimoji="0" lang="de-DE" sz="1800" b="0" i="1" u="none" strike="noStrike" kern="0" cap="none" spc="0" normalizeH="0" baseline="0" noProof="0">
                                      <a:ln>
                                        <a:noFill/>
                                      </a:ln>
                                      <a:solidFill>
                                        <a:srgbClr val="00B050"/>
                                      </a:solidFill>
                                      <a:effectLst/>
                                      <a:uLnTx/>
                                      <a:uFillTx/>
                                      <a:latin typeface="Cambria Math" panose="02040503050406030204" pitchFamily="18" charset="0"/>
                                      <a:ea typeface="+mn-ea"/>
                                      <a:cs typeface="+mn-cs"/>
                                    </a:rPr>
                                  </m:ctrlPr>
                                </m:sSubPr>
                                <m:e>
                                  <m:r>
                                    <a:rPr kumimoji="0" lang="de-DE" sz="1800" b="0" i="1" u="none" strike="noStrike" kern="0" cap="none" spc="0" normalizeH="0" baseline="0" noProof="0">
                                      <a:ln>
                                        <a:noFill/>
                                      </a:ln>
                                      <a:solidFill>
                                        <a:srgbClr val="00B050"/>
                                      </a:solidFill>
                                      <a:effectLst/>
                                      <a:uLnTx/>
                                      <a:uFillTx/>
                                      <a:latin typeface="Cambria Math"/>
                                      <a:ea typeface="+mn-ea"/>
                                      <a:cs typeface="+mn-cs"/>
                                    </a:rPr>
                                    <m:t> </m:t>
                                  </m:r>
                                  <m:r>
                                    <a:rPr kumimoji="0" lang="de-DE" sz="1800" b="0" i="1" u="none" strike="noStrike" kern="0" cap="none" spc="0" normalizeH="0" baseline="0" noProof="0">
                                      <a:ln>
                                        <a:noFill/>
                                      </a:ln>
                                      <a:solidFill>
                                        <a:srgbClr val="00B050"/>
                                      </a:solidFill>
                                      <a:effectLst/>
                                      <a:uLnTx/>
                                      <a:uFillTx/>
                                      <a:latin typeface="Cambria Math"/>
                                      <a:ea typeface="+mn-ea"/>
                                      <a:cs typeface="+mn-cs"/>
                                    </a:rPr>
                                    <m:t>𝑃</m:t>
                                  </m:r>
                                </m:e>
                                <m:sub>
                                  <m:r>
                                    <a:rPr kumimoji="0" lang="de-DE" sz="1800" b="0" i="1" u="none" strike="noStrike" kern="0" cap="none" spc="0" normalizeH="0" baseline="0" noProof="0">
                                      <a:ln>
                                        <a:noFill/>
                                      </a:ln>
                                      <a:solidFill>
                                        <a:srgbClr val="00B050"/>
                                      </a:solidFill>
                                      <a:effectLst/>
                                      <a:uLnTx/>
                                      <a:uFillTx/>
                                      <a:latin typeface="Cambria Math"/>
                                      <a:ea typeface="+mn-ea"/>
                                      <a:cs typeface="+mn-cs"/>
                                    </a:rPr>
                                    <m:t>𝐵</m:t>
                                  </m:r>
                                  <m:r>
                                    <a:rPr kumimoji="0" lang="de-DE" sz="1800" b="0" i="1" u="none" strike="noStrike" kern="0" cap="none" spc="0" normalizeH="0" baseline="0" noProof="0">
                                      <a:ln>
                                        <a:noFill/>
                                      </a:ln>
                                      <a:solidFill>
                                        <a:srgbClr val="00B050"/>
                                      </a:solidFill>
                                      <a:effectLst/>
                                      <a:uLnTx/>
                                      <a:uFillTx/>
                                      <a:latin typeface="Cambria Math"/>
                                      <a:ea typeface="+mn-ea"/>
                                      <a:cs typeface="+mn-cs"/>
                                    </a:rPr>
                                    <m:t>,</m:t>
                                  </m:r>
                                  <m:r>
                                    <a:rPr kumimoji="0" lang="de-DE" sz="1800" b="0" i="1" u="none" strike="noStrike" kern="0" cap="none" spc="0" normalizeH="0" baseline="0" noProof="0">
                                      <a:ln>
                                        <a:noFill/>
                                      </a:ln>
                                      <a:solidFill>
                                        <a:srgbClr val="00B050"/>
                                      </a:solidFill>
                                      <a:effectLst/>
                                      <a:uLnTx/>
                                      <a:uFillTx/>
                                      <a:latin typeface="Cambria Math"/>
                                      <a:ea typeface="+mn-ea"/>
                                      <a:cs typeface="+mn-cs"/>
                                    </a:rPr>
                                    <m:t>𝑡𝐸</m:t>
                                  </m:r>
                                </m:sub>
                              </m:sSub>
                            </m:den>
                          </m:f>
                          <m:r>
                            <a:rPr kumimoji="0" lang="de-DE" sz="1800" b="0" i="0" u="none" strike="noStrike" kern="0" cap="none" spc="0" normalizeH="0" baseline="0" noProof="0">
                              <a:ln>
                                <a:noFill/>
                              </a:ln>
                              <a:solidFill>
                                <a:sysClr val="windowText" lastClr="000000"/>
                              </a:solidFill>
                              <a:effectLst/>
                              <a:uLnTx/>
                              <a:uFillTx/>
                              <a:latin typeface="Cambria Math" panose="02040503050406030204" pitchFamily="18" charset="0"/>
                              <a:ea typeface="+mn-ea"/>
                              <a:cs typeface="+mn-cs"/>
                            </a:rPr>
                            <m:t>, </m:t>
                          </m:r>
                          <m:r>
                            <m:rPr>
                              <m:sty m:val="p"/>
                            </m:rPr>
                            <a:rPr kumimoji="0" lang="de-DE" sz="1800" b="0" i="0" u="none" strike="noStrike" kern="0" cap="none" spc="0" normalizeH="0" baseline="0" noProof="0">
                              <a:ln>
                                <a:noFill/>
                              </a:ln>
                              <a:solidFill>
                                <a:sysClr val="windowText" lastClr="000000"/>
                              </a:solidFill>
                              <a:effectLst/>
                              <a:uLnTx/>
                              <a:uFillTx/>
                              <a:latin typeface="Cambria Math" panose="02040503050406030204" pitchFamily="18" charset="0"/>
                              <a:ea typeface="+mn-ea"/>
                              <a:cs typeface="+mn-cs"/>
                            </a:rPr>
                            <m:t>falls</m:t>
                          </m:r>
                          <m:r>
                            <a:rPr kumimoji="0" lang="de-DE" sz="1800" b="0" i="0" u="none" strike="noStrike" kern="0" cap="none" spc="0" normalizeH="0" baseline="0" noProof="0">
                              <a:ln>
                                <a:noFill/>
                              </a:ln>
                              <a:solidFill>
                                <a:sysClr val="windowText" lastClr="000000"/>
                              </a:solidFill>
                              <a:effectLst/>
                              <a:uLnTx/>
                              <a:uFillTx/>
                              <a:latin typeface="Cambria Math" panose="02040503050406030204" pitchFamily="18" charset="0"/>
                              <a:ea typeface="+mn-ea"/>
                              <a:cs typeface="+mn-cs"/>
                            </a:rPr>
                            <m:t> </m:t>
                          </m:r>
                          <m:sSub>
                            <m:sSubPr>
                              <m:ctrlPr>
                                <a:rPr kumimoji="0" lang="de-DE" sz="1800" b="0" i="1" u="none" strike="noStrike" kern="0" cap="none" spc="0" normalizeH="0" baseline="0" noProof="0">
                                  <a:ln>
                                    <a:noFill/>
                                  </a:ln>
                                  <a:solidFill>
                                    <a:srgbClr val="00B050"/>
                                  </a:solidFill>
                                  <a:effectLst/>
                                  <a:uLnTx/>
                                  <a:uFillTx/>
                                  <a:latin typeface="Cambria Math" panose="02040503050406030204" pitchFamily="18" charset="0"/>
                                  <a:ea typeface="+mn-ea"/>
                                  <a:cs typeface="+mn-cs"/>
                                </a:rPr>
                              </m:ctrlPr>
                            </m:sSubPr>
                            <m:e>
                              <m:r>
                                <a:rPr kumimoji="0" lang="de-DE" sz="1800" b="0" i="1" u="none" strike="noStrike" kern="0" cap="none" spc="0" normalizeH="0" baseline="0" noProof="0">
                                  <a:ln>
                                    <a:noFill/>
                                  </a:ln>
                                  <a:solidFill>
                                    <a:srgbClr val="00B050"/>
                                  </a:solidFill>
                                  <a:effectLst/>
                                  <a:uLnTx/>
                                  <a:uFillTx/>
                                  <a:latin typeface="Cambria Math"/>
                                  <a:ea typeface="+mn-ea"/>
                                  <a:cs typeface="+mn-cs"/>
                                </a:rPr>
                                <m:t>𝑃</m:t>
                              </m:r>
                            </m:e>
                            <m:sub>
                              <m:r>
                                <a:rPr kumimoji="0" lang="de-DE" sz="1800" b="0" i="1" u="none" strike="noStrike" kern="0" cap="none" spc="0" normalizeH="0" baseline="0" noProof="0">
                                  <a:ln>
                                    <a:noFill/>
                                  </a:ln>
                                  <a:solidFill>
                                    <a:srgbClr val="00B050"/>
                                  </a:solidFill>
                                  <a:effectLst/>
                                  <a:uLnTx/>
                                  <a:uFillTx/>
                                  <a:latin typeface="Cambria Math"/>
                                  <a:ea typeface="+mn-ea"/>
                                  <a:cs typeface="+mn-cs"/>
                                </a:rPr>
                                <m:t>𝐷</m:t>
                              </m:r>
                              <m:r>
                                <a:rPr kumimoji="0" lang="de-DE" sz="1800" b="0" i="1" u="none" strike="noStrike" kern="0" cap="none" spc="0" normalizeH="0" baseline="0" noProof="0">
                                  <a:ln>
                                    <a:noFill/>
                                  </a:ln>
                                  <a:solidFill>
                                    <a:srgbClr val="00B050"/>
                                  </a:solidFill>
                                  <a:effectLst/>
                                  <a:uLnTx/>
                                  <a:uFillTx/>
                                  <a:latin typeface="Cambria Math"/>
                                  <a:ea typeface="+mn-ea"/>
                                  <a:cs typeface="+mn-cs"/>
                                </a:rPr>
                                <m:t>,</m:t>
                              </m:r>
                              <m:r>
                                <a:rPr kumimoji="0" lang="de-DE" sz="1800" b="0" i="1" u="none" strike="noStrike" kern="0" cap="none" spc="0" normalizeH="0" baseline="0" noProof="0">
                                  <a:ln>
                                    <a:noFill/>
                                  </a:ln>
                                  <a:solidFill>
                                    <a:srgbClr val="00B050"/>
                                  </a:solidFill>
                                  <a:effectLst/>
                                  <a:uLnTx/>
                                  <a:uFillTx/>
                                  <a:latin typeface="Cambria Math"/>
                                  <a:ea typeface="+mn-ea"/>
                                  <a:cs typeface="+mn-cs"/>
                                </a:rPr>
                                <m:t>𝑡𝐸</m:t>
                              </m:r>
                            </m:sub>
                          </m:sSub>
                          <m:r>
                            <a:rPr kumimoji="0" lang="de-DE" sz="1800" b="0" i="1" u="none" strike="noStrike" kern="0" cap="none" spc="0" normalizeH="0" baseline="0" noProof="0">
                              <a:ln>
                                <a:noFill/>
                              </a:ln>
                              <a:solidFill>
                                <a:srgbClr val="00B050"/>
                              </a:solidFill>
                              <a:effectLst/>
                              <a:uLnTx/>
                              <a:uFillTx/>
                              <a:latin typeface="Cambria Math"/>
                              <a:ea typeface="+mn-ea"/>
                              <a:cs typeface="+mn-cs"/>
                            </a:rPr>
                            <m:t> +</m:t>
                          </m:r>
                          <m:sSub>
                            <m:sSubPr>
                              <m:ctrlPr>
                                <a:rPr kumimoji="0" lang="de-DE" sz="1800" b="0" i="1" u="none" strike="noStrike" kern="0" cap="none" spc="0" normalizeH="0" baseline="0" noProof="0">
                                  <a:ln>
                                    <a:noFill/>
                                  </a:ln>
                                  <a:solidFill>
                                    <a:srgbClr val="00B050"/>
                                  </a:solidFill>
                                  <a:effectLst/>
                                  <a:uLnTx/>
                                  <a:uFillTx/>
                                  <a:latin typeface="Cambria Math" panose="02040503050406030204" pitchFamily="18" charset="0"/>
                                  <a:ea typeface="+mn-ea"/>
                                  <a:cs typeface="+mn-cs"/>
                                </a:rPr>
                              </m:ctrlPr>
                            </m:sSubPr>
                            <m:e>
                              <m:r>
                                <a:rPr kumimoji="0" lang="de-DE" sz="1800" b="0" i="1" u="none" strike="noStrike" kern="0" cap="none" spc="0" normalizeH="0" baseline="0" noProof="0">
                                  <a:ln>
                                    <a:noFill/>
                                  </a:ln>
                                  <a:solidFill>
                                    <a:srgbClr val="00B050"/>
                                  </a:solidFill>
                                  <a:effectLst/>
                                  <a:uLnTx/>
                                  <a:uFillTx/>
                                  <a:latin typeface="Cambria Math"/>
                                  <a:ea typeface="+mn-ea"/>
                                  <a:cs typeface="+mn-cs"/>
                                </a:rPr>
                                <m:t> </m:t>
                              </m:r>
                              <m:r>
                                <a:rPr kumimoji="0" lang="de-DE" sz="1800" b="0" i="1" u="none" strike="noStrike" kern="0" cap="none" spc="0" normalizeH="0" baseline="0" noProof="0">
                                  <a:ln>
                                    <a:noFill/>
                                  </a:ln>
                                  <a:solidFill>
                                    <a:srgbClr val="00B050"/>
                                  </a:solidFill>
                                  <a:effectLst/>
                                  <a:uLnTx/>
                                  <a:uFillTx/>
                                  <a:latin typeface="Cambria Math"/>
                                  <a:ea typeface="+mn-ea"/>
                                  <a:cs typeface="+mn-cs"/>
                                </a:rPr>
                                <m:t>𝑃</m:t>
                              </m:r>
                            </m:e>
                            <m:sub>
                              <m:r>
                                <a:rPr kumimoji="0" lang="de-DE" sz="1800" b="0" i="1" u="none" strike="noStrike" kern="0" cap="none" spc="0" normalizeH="0" baseline="0" noProof="0">
                                  <a:ln>
                                    <a:noFill/>
                                  </a:ln>
                                  <a:solidFill>
                                    <a:srgbClr val="00B050"/>
                                  </a:solidFill>
                                  <a:effectLst/>
                                  <a:uLnTx/>
                                  <a:uFillTx/>
                                  <a:latin typeface="Cambria Math"/>
                                  <a:ea typeface="+mn-ea"/>
                                  <a:cs typeface="+mn-cs"/>
                                </a:rPr>
                                <m:t>𝑅</m:t>
                              </m:r>
                              <m:r>
                                <a:rPr kumimoji="0" lang="de-DE" sz="1800" b="0" i="1" u="none" strike="noStrike" kern="0" cap="none" spc="0" normalizeH="0" baseline="0" noProof="0">
                                  <a:ln>
                                    <a:noFill/>
                                  </a:ln>
                                  <a:solidFill>
                                    <a:srgbClr val="00B050"/>
                                  </a:solidFill>
                                  <a:effectLst/>
                                  <a:uLnTx/>
                                  <a:uFillTx/>
                                  <a:latin typeface="Cambria Math"/>
                                  <a:ea typeface="+mn-ea"/>
                                  <a:cs typeface="+mn-cs"/>
                                </a:rPr>
                                <m:t>,</m:t>
                              </m:r>
                              <m:r>
                                <a:rPr kumimoji="0" lang="de-DE" sz="1800" b="0" i="1" u="none" strike="noStrike" kern="0" cap="none" spc="0" normalizeH="0" baseline="0" noProof="0">
                                  <a:ln>
                                    <a:noFill/>
                                  </a:ln>
                                  <a:solidFill>
                                    <a:srgbClr val="00B050"/>
                                  </a:solidFill>
                                  <a:effectLst/>
                                  <a:uLnTx/>
                                  <a:uFillTx/>
                                  <a:latin typeface="Cambria Math"/>
                                  <a:ea typeface="+mn-ea"/>
                                  <a:cs typeface="+mn-cs"/>
                                </a:rPr>
                                <m:t>𝑡𝐸</m:t>
                              </m:r>
                            </m:sub>
                          </m:sSub>
                          <m:r>
                            <a:rPr kumimoji="0" lang="de-DE" sz="1800" b="0" i="1" u="none" strike="noStrike" kern="0" cap="none" spc="0" normalizeH="0" baseline="0" noProof="0">
                              <a:ln>
                                <a:noFill/>
                              </a:ln>
                              <a:solidFill>
                                <a:sysClr val="windowText" lastClr="000000"/>
                              </a:solidFill>
                              <a:effectLst/>
                              <a:uLnTx/>
                              <a:uFillTx/>
                              <a:latin typeface="Cambria Math" panose="02040503050406030204" pitchFamily="18" charset="0"/>
                              <a:ea typeface="+mn-ea"/>
                              <a:cs typeface="+mn-cs"/>
                            </a:rPr>
                            <m:t>&gt;0</m:t>
                          </m:r>
                          <m:r>
                            <a:rPr kumimoji="0" lang="de-DE" sz="1800" b="0" i="1" u="none" strike="noStrike" kern="0" cap="none" spc="0" normalizeH="0" baseline="0" noProof="0">
                              <a:ln>
                                <a:noFill/>
                              </a:ln>
                              <a:solidFill>
                                <a:srgbClr val="00B050"/>
                              </a:solidFill>
                              <a:effectLst/>
                              <a:uLnTx/>
                              <a:uFillTx/>
                              <a:latin typeface="Cambria Math" panose="02040503050406030204" pitchFamily="18" charset="0"/>
                              <a:ea typeface="+mn-ea"/>
                              <a:cs typeface="+mn-cs"/>
                            </a:rPr>
                            <m:t> </m:t>
                          </m:r>
                        </m:e>
                        <m:e>
                          <m:r>
                            <a:rPr lang="de-DE" sz="1800" b="0" i="0" baseline="0">
                              <a:solidFill>
                                <a:sysClr val="windowText" lastClr="000000"/>
                              </a:solidFill>
                              <a:latin typeface="Cambria Math" panose="02040503050406030204" pitchFamily="18" charset="0"/>
                            </a:rPr>
                            <m:t>0, </m:t>
                          </m:r>
                          <m:r>
                            <m:rPr>
                              <m:sty m:val="p"/>
                            </m:rPr>
                            <a:rPr lang="de-DE" sz="1800" b="0" i="0" baseline="0">
                              <a:solidFill>
                                <a:sysClr val="windowText" lastClr="000000"/>
                              </a:solidFill>
                              <a:latin typeface="Cambria Math" panose="02040503050406030204" pitchFamily="18" charset="0"/>
                            </a:rPr>
                            <m:t>sonst</m:t>
                          </m:r>
                        </m:e>
                      </m:eqArr>
                    </m:e>
                  </m:d>
                </m:oMath>
              </a14:m>
              <a:endParaRPr lang="de-DE" sz="1800" b="0" baseline="0">
                <a:solidFill>
                  <a:sysClr val="windowText" lastClr="000000"/>
                </a:solidFill>
                <a:latin typeface="Cambria" panose="02040503050406030204" pitchFamily="18" charset="0"/>
                <a:ea typeface="Cambria" panose="02040503050406030204" pitchFamily="18" charset="0"/>
              </a:endParaRPr>
            </a:p>
            <a:p>
              <a:pPr marL="342900" indent="-342900">
                <a:buClr>
                  <a:schemeClr val="tx1"/>
                </a:buClr>
                <a:buFont typeface="Wingdings" panose="05000000000000000000" pitchFamily="2" charset="2"/>
                <a:buChar char="Ø"/>
              </a:pPr>
              <a:r>
                <a:rPr lang="de-DE" sz="1800">
                  <a:solidFill>
                    <a:srgbClr val="000000"/>
                  </a:solidFill>
                  <a:latin typeface="Cambria" panose="02040503050406030204" pitchFamily="18" charset="0"/>
                  <a:ea typeface="Cambria" panose="02040503050406030204" pitchFamily="18" charset="0"/>
                </a:rPr>
                <a:t>(tatsächliche) Vermeidungsleistung des </a:t>
              </a:r>
              <a:r>
                <a:rPr lang="de-DE" sz="1800" i="1">
                  <a:solidFill>
                    <a:srgbClr val="000000"/>
                  </a:solidFill>
                  <a:latin typeface="Cambria" panose="02040503050406030204" pitchFamily="18" charset="0"/>
                  <a:ea typeface="Cambria" panose="02040503050406030204" pitchFamily="18" charset="0"/>
                </a:rPr>
                <a:t>k</a:t>
              </a:r>
              <a:r>
                <a:rPr lang="de-DE" sz="1800">
                  <a:solidFill>
                    <a:srgbClr val="000000"/>
                  </a:solidFill>
                  <a:latin typeface="Cambria" panose="02040503050406030204" pitchFamily="18" charset="0"/>
                  <a:ea typeface="Cambria" panose="02040503050406030204" pitchFamily="18" charset="0"/>
                </a:rPr>
                <a:t>-ten Einspeisers mit IST-Bewertung = </a:t>
              </a:r>
              <a14:m>
                <m:oMath xmlns:m="http://schemas.openxmlformats.org/officeDocument/2006/math">
                  <m:sSubSup>
                    <m:sSubSupPr>
                      <m:ctrlPr>
                        <a:rPr lang="de-DE" sz="1800" i="1">
                          <a:solidFill>
                            <a:srgbClr val="000000"/>
                          </a:solidFill>
                          <a:latin typeface="Cambria Math" panose="02040503050406030204" pitchFamily="18" charset="0"/>
                        </a:rPr>
                      </m:ctrlPr>
                    </m:sSubSupPr>
                    <m:e>
                      <m:r>
                        <a:rPr lang="de-DE" sz="1800" i="1">
                          <a:solidFill>
                            <a:srgbClr val="000000"/>
                          </a:solidFill>
                          <a:latin typeface="Cambria Math"/>
                        </a:rPr>
                        <m:t>𝑃</m:t>
                      </m:r>
                    </m:e>
                    <m:sub>
                      <m:r>
                        <a:rPr lang="de-DE" sz="1800" b="0" i="1">
                          <a:solidFill>
                            <a:srgbClr val="000000"/>
                          </a:solidFill>
                          <a:latin typeface="Cambria Math"/>
                        </a:rPr>
                        <m:t>𝑖</m:t>
                      </m:r>
                      <m:r>
                        <a:rPr lang="de-DE" sz="1800" b="0" i="1">
                          <a:solidFill>
                            <a:srgbClr val="000000"/>
                          </a:solidFill>
                          <a:latin typeface="Cambria Math"/>
                        </a:rPr>
                        <m:t>,</m:t>
                      </m:r>
                      <m:r>
                        <a:rPr lang="de-DE" sz="1800" i="1">
                          <a:solidFill>
                            <a:srgbClr val="000000"/>
                          </a:solidFill>
                          <a:latin typeface="Cambria Math"/>
                        </a:rPr>
                        <m:t>𝑡𝐸</m:t>
                      </m:r>
                    </m:sub>
                    <m:sup>
                      <m:r>
                        <a:rPr lang="de-DE" sz="1800" b="0" i="1">
                          <a:solidFill>
                            <a:srgbClr val="000000"/>
                          </a:solidFill>
                          <a:latin typeface="Cambria Math"/>
                        </a:rPr>
                        <m:t>𝑘</m:t>
                      </m:r>
                    </m:sup>
                  </m:sSubSup>
                  <m:r>
                    <a:rPr lang="de-DE" sz="1800" i="1">
                      <a:solidFill>
                        <a:srgbClr val="000000"/>
                      </a:solidFill>
                      <a:latin typeface="Cambria Math"/>
                    </a:rPr>
                    <m:t>∗</m:t>
                  </m:r>
                  <m:r>
                    <a:rPr lang="de-DE" sz="1800" i="1">
                      <a:solidFill>
                        <a:srgbClr val="000000"/>
                      </a:solidFill>
                      <a:latin typeface="Cambria Math"/>
                    </a:rPr>
                    <m:t>𝑠</m:t>
                  </m:r>
                </m:oMath>
              </a14:m>
              <a:endParaRPr lang="de-DE" sz="1800">
                <a:solidFill>
                  <a:srgbClr val="000000"/>
                </a:solidFill>
                <a:latin typeface="Cambria" panose="02040503050406030204" pitchFamily="18" charset="0"/>
                <a:ea typeface="Cambria" panose="02040503050406030204" pitchFamily="18" charset="0"/>
              </a:endParaRPr>
            </a:p>
          </xdr:txBody>
        </xdr:sp>
      </mc:Choice>
      <mc:Fallback xmlns="">
        <xdr:sp macro="" textlink="">
          <xdr:nvSpPr>
            <xdr:cNvPr id="8" name="Textplatzhalter 7"/>
            <xdr:cNvSpPr>
              <a:spLocks noGrp="1"/>
            </xdr:cNvSpPr>
          </xdr:nvSpPr>
          <xdr:spPr>
            <a:xfrm>
              <a:off x="781047" y="8553450"/>
              <a:ext cx="12077703" cy="2066925"/>
            </a:xfrm>
            <a:prstGeom prst="rect">
              <a:avLst/>
            </a:prstGeom>
          </xdr:spPr>
          <xdr:txBody>
            <a:bodyPr wrap="square">
              <a:noAutofit/>
            </a:bodyPr>
            <a:lstStyle>
              <a:lvl1pPr marL="0" indent="0" algn="l" rtl="0" fontAlgn="base">
                <a:spcBef>
                  <a:spcPct val="20000"/>
                </a:spcBef>
                <a:spcAft>
                  <a:spcPct val="0"/>
                </a:spcAft>
                <a:buClr>
                  <a:schemeClr val="bg2"/>
                </a:buClr>
                <a:buSzPct val="75000"/>
                <a:buFont typeface="Wingdings" pitchFamily="2" charset="2"/>
                <a:buNone/>
                <a:defRPr sz="1400">
                  <a:solidFill>
                    <a:schemeClr val="tx1"/>
                  </a:solidFill>
                  <a:latin typeface="+mn-lt"/>
                  <a:ea typeface="+mn-ea"/>
                  <a:cs typeface="+mn-cs"/>
                </a:defRPr>
              </a:lvl1pPr>
              <a:lvl2pPr marL="457200" indent="0" algn="l" rtl="0" fontAlgn="base">
                <a:spcBef>
                  <a:spcPct val="20000"/>
                </a:spcBef>
                <a:spcAft>
                  <a:spcPct val="0"/>
                </a:spcAft>
                <a:buClr>
                  <a:schemeClr val="accent2"/>
                </a:buClr>
                <a:buSzPct val="80000"/>
                <a:buFont typeface="Wingdings" pitchFamily="2" charset="2"/>
                <a:buNone/>
                <a:defRPr sz="1200">
                  <a:solidFill>
                    <a:schemeClr val="tx1"/>
                  </a:solidFill>
                  <a:latin typeface="+mn-lt"/>
                </a:defRPr>
              </a:lvl2pPr>
              <a:lvl3pPr marL="914400" indent="0" algn="l" rtl="0" fontAlgn="base">
                <a:spcBef>
                  <a:spcPct val="20000"/>
                </a:spcBef>
                <a:spcAft>
                  <a:spcPct val="0"/>
                </a:spcAft>
                <a:buClr>
                  <a:schemeClr val="bg2"/>
                </a:buClr>
                <a:buSzPct val="65000"/>
                <a:buFont typeface="Wingdings" pitchFamily="2" charset="2"/>
                <a:buNone/>
                <a:defRPr sz="1000">
                  <a:solidFill>
                    <a:schemeClr val="tx1"/>
                  </a:solidFill>
                  <a:latin typeface="+mn-lt"/>
                </a:defRPr>
              </a:lvl3pPr>
              <a:lvl4pPr marL="1371600" indent="0" algn="l" rtl="0" fontAlgn="base">
                <a:spcBef>
                  <a:spcPct val="20000"/>
                </a:spcBef>
                <a:spcAft>
                  <a:spcPct val="0"/>
                </a:spcAft>
                <a:buClr>
                  <a:schemeClr val="accent2"/>
                </a:buClr>
                <a:buSzPct val="70000"/>
                <a:buFont typeface="Wingdings" pitchFamily="2" charset="2"/>
                <a:buNone/>
                <a:defRPr sz="900">
                  <a:solidFill>
                    <a:schemeClr val="tx1"/>
                  </a:solidFill>
                  <a:latin typeface="+mn-lt"/>
                </a:defRPr>
              </a:lvl4pPr>
              <a:lvl5pPr marL="1828800" indent="0" algn="l" rtl="0" fontAlgn="base">
                <a:spcBef>
                  <a:spcPct val="20000"/>
                </a:spcBef>
                <a:spcAft>
                  <a:spcPct val="0"/>
                </a:spcAft>
                <a:buClr>
                  <a:schemeClr val="bg2"/>
                </a:buClr>
                <a:buFont typeface="Wingdings" pitchFamily="2" charset="2"/>
                <a:buNone/>
                <a:defRPr sz="900">
                  <a:solidFill>
                    <a:schemeClr val="tx1"/>
                  </a:solidFill>
                  <a:latin typeface="+mn-lt"/>
                </a:defRPr>
              </a:lvl5pPr>
              <a:lvl6pPr marL="2286000" indent="0" algn="l" rtl="0" fontAlgn="base">
                <a:spcBef>
                  <a:spcPct val="20000"/>
                </a:spcBef>
                <a:spcAft>
                  <a:spcPct val="0"/>
                </a:spcAft>
                <a:buClr>
                  <a:schemeClr val="bg2"/>
                </a:buClr>
                <a:buFont typeface="Wingdings" pitchFamily="2" charset="2"/>
                <a:buNone/>
                <a:defRPr sz="900">
                  <a:solidFill>
                    <a:schemeClr val="tx1"/>
                  </a:solidFill>
                  <a:latin typeface="+mn-lt"/>
                </a:defRPr>
              </a:lvl6pPr>
              <a:lvl7pPr marL="2743200" indent="0" algn="l" rtl="0" fontAlgn="base">
                <a:spcBef>
                  <a:spcPct val="20000"/>
                </a:spcBef>
                <a:spcAft>
                  <a:spcPct val="0"/>
                </a:spcAft>
                <a:buClr>
                  <a:schemeClr val="bg2"/>
                </a:buClr>
                <a:buFont typeface="Wingdings" pitchFamily="2" charset="2"/>
                <a:buNone/>
                <a:defRPr sz="900">
                  <a:solidFill>
                    <a:schemeClr val="tx1"/>
                  </a:solidFill>
                  <a:latin typeface="+mn-lt"/>
                </a:defRPr>
              </a:lvl7pPr>
              <a:lvl8pPr marL="3200400" indent="0" algn="l" rtl="0" fontAlgn="base">
                <a:spcBef>
                  <a:spcPct val="20000"/>
                </a:spcBef>
                <a:spcAft>
                  <a:spcPct val="0"/>
                </a:spcAft>
                <a:buClr>
                  <a:schemeClr val="bg2"/>
                </a:buClr>
                <a:buFont typeface="Wingdings" pitchFamily="2" charset="2"/>
                <a:buNone/>
                <a:defRPr sz="900">
                  <a:solidFill>
                    <a:schemeClr val="tx1"/>
                  </a:solidFill>
                  <a:latin typeface="+mn-lt"/>
                </a:defRPr>
              </a:lvl8pPr>
              <a:lvl9pPr marL="3657600" indent="0" algn="l" rtl="0" fontAlgn="base">
                <a:spcBef>
                  <a:spcPct val="20000"/>
                </a:spcBef>
                <a:spcAft>
                  <a:spcPct val="0"/>
                </a:spcAft>
                <a:buClr>
                  <a:schemeClr val="bg2"/>
                </a:buClr>
                <a:buFont typeface="Wingdings" pitchFamily="2" charset="2"/>
                <a:buNone/>
                <a:defRPr sz="900">
                  <a:solidFill>
                    <a:schemeClr val="tx1"/>
                  </a:solidFill>
                  <a:latin typeface="+mn-lt"/>
                </a:defRPr>
              </a:lvl9pPr>
            </a:lstStyle>
            <a:p>
              <a:pPr marL="342900" indent="-342900">
                <a:buClr>
                  <a:schemeClr val="tx1"/>
                </a:buClr>
                <a:buFont typeface="Wingdings" panose="05000000000000000000" pitchFamily="2" charset="2"/>
                <a:buChar char="Ø"/>
              </a:pPr>
              <a:r>
                <a:rPr lang="de-DE" sz="1800" i="1">
                  <a:solidFill>
                    <a:srgbClr val="000000"/>
                  </a:solidFill>
                  <a:latin typeface="Cambria" panose="02040503050406030204" pitchFamily="18" charset="0"/>
                  <a:ea typeface="Cambria" panose="02040503050406030204" pitchFamily="18" charset="0"/>
                </a:rPr>
                <a:t>P</a:t>
              </a:r>
              <a:r>
                <a:rPr lang="de-DE" sz="1800" i="1" baseline="-25000">
                  <a:solidFill>
                    <a:srgbClr val="000000"/>
                  </a:solidFill>
                  <a:latin typeface="Cambria" panose="02040503050406030204" pitchFamily="18" charset="0"/>
                  <a:ea typeface="Cambria" panose="02040503050406030204" pitchFamily="18" charset="0"/>
                </a:rPr>
                <a:t>E,max</a:t>
              </a:r>
              <a:r>
                <a:rPr lang="de-DE" sz="1800" i="1" baseline="0">
                  <a:solidFill>
                    <a:srgbClr val="000000"/>
                  </a:solidFill>
                  <a:latin typeface="Cambria" panose="02040503050406030204" pitchFamily="18" charset="0"/>
                  <a:ea typeface="Cambria" panose="02040503050406030204" pitchFamily="18" charset="0"/>
                </a:rPr>
                <a:t> = P</a:t>
              </a:r>
              <a:r>
                <a:rPr lang="de-DE" sz="1800" i="1" baseline="-25000">
                  <a:solidFill>
                    <a:srgbClr val="000000"/>
                  </a:solidFill>
                  <a:latin typeface="Cambria" panose="02040503050406030204" pitchFamily="18" charset="0"/>
                  <a:ea typeface="Cambria" panose="02040503050406030204" pitchFamily="18" charset="0"/>
                </a:rPr>
                <a:t>E,tE</a:t>
              </a:r>
            </a:p>
            <a:p>
              <a:pPr marL="342900" indent="-342900">
                <a:buClr>
                  <a:schemeClr val="tx1"/>
                </a:buClr>
                <a:buFont typeface="Wingdings" panose="05000000000000000000" pitchFamily="2" charset="2"/>
                <a:buChar char="Ø"/>
              </a:pPr>
              <a:r>
                <a:rPr lang="de-DE" sz="1800" b="1" i="0" baseline="0">
                  <a:solidFill>
                    <a:sysClr val="windowText" lastClr="000000"/>
                  </a:solidFill>
                  <a:latin typeface="Cambria Math"/>
                </a:rPr>
                <a:t>𝐒𝐤𝐚𝐥𝐢𝐞𝐫𝐮𝐧𝐠𝐬𝐟𝐚𝐤𝐭𝐨𝐫 𝒔= </a:t>
              </a:r>
              <a:r>
                <a:rPr lang="de-DE" sz="1800" b="1" i="0" baseline="0">
                  <a:solidFill>
                    <a:sysClr val="windowText" lastClr="000000"/>
                  </a:solidFill>
                  <a:latin typeface="Cambria Math" panose="02040503050406030204" pitchFamily="18" charset="0"/>
                </a:rPr>
                <a:t>{█(</a:t>
              </a:r>
              <a:r>
                <a:rPr kumimoji="0" lang="de-DE" sz="1800" b="0" i="0" u="none" strike="noStrike" kern="0" cap="none" spc="0" normalizeH="0" baseline="0" noProof="0">
                  <a:ln>
                    <a:noFill/>
                  </a:ln>
                  <a:solidFill>
                    <a:sysClr val="windowText" lastClr="000000"/>
                  </a:solidFill>
                  <a:effectLst/>
                  <a:uLnTx/>
                  <a:uFillTx/>
                  <a:latin typeface="Cambria Math" panose="02040503050406030204" pitchFamily="18" charset="0"/>
                  <a:ea typeface="+mn-ea"/>
                  <a:cs typeface="+mn-cs"/>
                </a:rPr>
                <a:t>(</a:t>
              </a:r>
              <a:r>
                <a:rPr kumimoji="0" lang="de-DE" sz="1800" b="0" i="0" u="none" strike="noStrike" kern="0" cap="none" spc="0" normalizeH="0" baseline="0" noProof="0">
                  <a:ln>
                    <a:noFill/>
                  </a:ln>
                  <a:solidFill>
                    <a:srgbClr val="00B0F0"/>
                  </a:solidFill>
                  <a:effectLst/>
                  <a:uLnTx/>
                  <a:uFillTx/>
                  <a:latin typeface="Cambria Math"/>
                  <a:ea typeface="+mn-ea"/>
                  <a:cs typeface="+mn-cs"/>
                </a:rPr>
                <a:t>tatsächlich vermiedene Leistung</a:t>
              </a:r>
              <a:r>
                <a:rPr kumimoji="0" lang="de-DE" sz="1800" b="0" i="0" u="none" strike="noStrike" kern="0" cap="none" spc="0" normalizeH="0" baseline="0" noProof="0">
                  <a:ln>
                    <a:noFill/>
                  </a:ln>
                  <a:solidFill>
                    <a:sysClr val="windowText" lastClr="000000"/>
                  </a:solidFill>
                  <a:effectLst/>
                  <a:uLnTx/>
                  <a:uFillTx/>
                  <a:latin typeface="Cambria Math" panose="02040503050406030204" pitchFamily="18" charset="0"/>
                  <a:ea typeface="+mn-ea"/>
                  <a:cs typeface="+mn-cs"/>
                </a:rPr>
                <a:t>)/(</a:t>
              </a:r>
              <a:r>
                <a:rPr kumimoji="0" lang="de-DE" sz="1800" b="0" i="0" u="none" strike="noStrike" kern="0" cap="none" spc="0" normalizeH="0" baseline="0" noProof="0">
                  <a:ln>
                    <a:noFill/>
                  </a:ln>
                  <a:solidFill>
                    <a:srgbClr val="00B050"/>
                  </a:solidFill>
                  <a:effectLst/>
                  <a:uLnTx/>
                  <a:uFillTx/>
                  <a:latin typeface="Cambria Math"/>
                  <a:ea typeface="+mn-ea"/>
                  <a:cs typeface="+mn-cs"/>
                </a:rPr>
                <a:t>Einspeiseleistung zum Zeitpunkt der Entnahmehöchstlast</a:t>
              </a:r>
              <a:r>
                <a:rPr kumimoji="0" lang="de-DE" sz="1800" b="0" i="0" u="none" strike="noStrike" kern="0" cap="none" spc="0" normalizeH="0" baseline="0" noProof="0">
                  <a:ln>
                    <a:noFill/>
                  </a:ln>
                  <a:solidFill>
                    <a:sysClr val="windowText" lastClr="000000"/>
                  </a:solidFill>
                  <a:effectLst/>
                  <a:uLnTx/>
                  <a:uFillTx/>
                  <a:latin typeface="Cambria Math" panose="02040503050406030204" pitchFamily="18" charset="0"/>
                  <a:ea typeface="+mn-ea"/>
                  <a:cs typeface="+mn-cs"/>
                </a:rPr>
                <a:t>)</a:t>
              </a:r>
              <a:r>
                <a:rPr kumimoji="0" lang="de-DE" sz="1800" b="0" i="0" u="none" strike="noStrike" kern="0" cap="none" spc="0" normalizeH="0" baseline="0" noProof="0">
                  <a:ln>
                    <a:noFill/>
                  </a:ln>
                  <a:solidFill>
                    <a:sysClr val="windowText" lastClr="000000"/>
                  </a:solidFill>
                  <a:effectLst/>
                  <a:uLnTx/>
                  <a:uFillTx/>
                  <a:latin typeface="Cambria Math"/>
                  <a:ea typeface="+mn-ea"/>
                  <a:cs typeface="+mn-cs"/>
                </a:rPr>
                <a:t>=</a:t>
              </a:r>
              <a:r>
                <a:rPr kumimoji="0" lang="de-DE" sz="1800" b="0" i="0" u="none" strike="noStrike" kern="0" cap="none" spc="0" normalizeH="0" baseline="0" noProof="0">
                  <a:ln>
                    <a:noFill/>
                  </a:ln>
                  <a:solidFill>
                    <a:srgbClr val="00B0F0"/>
                  </a:solidFill>
                  <a:effectLst/>
                  <a:uLnTx/>
                  <a:uFillTx/>
                  <a:latin typeface="Cambria Math"/>
                  <a:ea typeface="+mn-ea"/>
                  <a:cs typeface="+mn-cs"/>
                </a:rPr>
                <a:t>𝑃</a:t>
              </a:r>
              <a:r>
                <a:rPr kumimoji="0" lang="de-DE" sz="1800" b="0" i="0" u="none" strike="noStrike" kern="0" cap="none" spc="0" normalizeH="0" baseline="0" noProof="0">
                  <a:ln>
                    <a:noFill/>
                  </a:ln>
                  <a:solidFill>
                    <a:srgbClr val="00B0F0"/>
                  </a:solidFill>
                  <a:effectLst/>
                  <a:uLnTx/>
                  <a:uFillTx/>
                  <a:latin typeface="Cambria Math" panose="02040503050406030204" pitchFamily="18" charset="0"/>
                  <a:ea typeface="+mn-ea"/>
                  <a:cs typeface="+mn-cs"/>
                </a:rPr>
                <a:t>_(</a:t>
              </a:r>
              <a:r>
                <a:rPr kumimoji="0" lang="de-DE" sz="1800" b="0" i="0" u="none" strike="noStrike" kern="0" cap="none" spc="0" normalizeH="0" baseline="0" noProof="0">
                  <a:ln>
                    <a:noFill/>
                  </a:ln>
                  <a:solidFill>
                    <a:srgbClr val="00B0F0"/>
                  </a:solidFill>
                  <a:effectLst/>
                  <a:uLnTx/>
                  <a:uFillTx/>
                  <a:latin typeface="Cambria Math"/>
                  <a:ea typeface="+mn-ea"/>
                  <a:cs typeface="+mn-cs"/>
                </a:rPr>
                <a:t>𝑣𝑒𝑟𝑚,𝑡𝑎𝑡</a:t>
              </a:r>
              <a:r>
                <a:rPr kumimoji="0" lang="de-DE" sz="1800" b="0" i="0" u="none" strike="noStrike" kern="0" cap="none" spc="0" normalizeH="0" baseline="0" noProof="0">
                  <a:ln>
                    <a:noFill/>
                  </a:ln>
                  <a:solidFill>
                    <a:srgbClr val="00B0F0"/>
                  </a:solidFill>
                  <a:effectLst/>
                  <a:uLnTx/>
                  <a:uFillTx/>
                  <a:latin typeface="Cambria Math" panose="02040503050406030204" pitchFamily="18" charset="0"/>
                  <a:ea typeface="+mn-ea"/>
                  <a:cs typeface="+mn-cs"/>
                </a:rPr>
                <a:t>)</a:t>
              </a:r>
              <a:r>
                <a:rPr kumimoji="0" lang="de-DE" sz="1800" b="0" i="0" u="none" strike="noStrike" kern="0" cap="none" spc="0" normalizeH="0" baseline="0" noProof="0">
                  <a:ln>
                    <a:noFill/>
                  </a:ln>
                  <a:solidFill>
                    <a:sysClr val="windowText" lastClr="000000"/>
                  </a:solidFill>
                  <a:effectLst/>
                  <a:uLnTx/>
                  <a:uFillTx/>
                  <a:latin typeface="Cambria Math" panose="02040503050406030204" pitchFamily="18" charset="0"/>
                  <a:ea typeface="+mn-ea"/>
                  <a:cs typeface="+mn-cs"/>
                </a:rPr>
                <a:t>/(</a:t>
              </a:r>
              <a:r>
                <a:rPr kumimoji="0" lang="de-DE" sz="1800" b="0" i="0" u="none" strike="noStrike" kern="0" cap="none" spc="0" normalizeH="0" baseline="0" noProof="0">
                  <a:ln>
                    <a:noFill/>
                  </a:ln>
                  <a:solidFill>
                    <a:srgbClr val="00B050"/>
                  </a:solidFill>
                  <a:effectLst/>
                  <a:uLnTx/>
                  <a:uFillTx/>
                  <a:latin typeface="Cambria Math"/>
                  <a:ea typeface="+mn-ea"/>
                  <a:cs typeface="+mn-cs"/>
                </a:rPr>
                <a:t>𝑃</a:t>
              </a:r>
              <a:r>
                <a:rPr kumimoji="0" lang="de-DE" sz="1800" b="0" i="0" u="none" strike="noStrike" kern="0" cap="none" spc="0" normalizeH="0" baseline="0" noProof="0">
                  <a:ln>
                    <a:noFill/>
                  </a:ln>
                  <a:solidFill>
                    <a:srgbClr val="00B050"/>
                  </a:solidFill>
                  <a:effectLst/>
                  <a:uLnTx/>
                  <a:uFillTx/>
                  <a:latin typeface="Cambria Math" panose="02040503050406030204" pitchFamily="18" charset="0"/>
                  <a:ea typeface="+mn-ea"/>
                  <a:cs typeface="+mn-cs"/>
                </a:rPr>
                <a:t>_(</a:t>
              </a:r>
              <a:r>
                <a:rPr kumimoji="0" lang="de-DE" sz="1800" b="0" i="0" u="none" strike="noStrike" kern="0" cap="none" spc="0" normalizeH="0" baseline="0" noProof="0">
                  <a:ln>
                    <a:noFill/>
                  </a:ln>
                  <a:solidFill>
                    <a:srgbClr val="00B050"/>
                  </a:solidFill>
                  <a:effectLst/>
                  <a:uLnTx/>
                  <a:uFillTx/>
                  <a:latin typeface="Cambria Math"/>
                  <a:ea typeface="+mn-ea"/>
                  <a:cs typeface="+mn-cs"/>
                </a:rPr>
                <a:t>𝐷,𝑡𝐸</a:t>
              </a:r>
              <a:r>
                <a:rPr kumimoji="0" lang="de-DE" sz="1800" b="0" i="0" u="none" strike="noStrike" kern="0" cap="none" spc="0" normalizeH="0" baseline="0" noProof="0">
                  <a:ln>
                    <a:noFill/>
                  </a:ln>
                  <a:solidFill>
                    <a:srgbClr val="00B050"/>
                  </a:solidFill>
                  <a:effectLst/>
                  <a:uLnTx/>
                  <a:uFillTx/>
                  <a:latin typeface="Cambria Math" panose="02040503050406030204" pitchFamily="18" charset="0"/>
                  <a:ea typeface="+mn-ea"/>
                  <a:cs typeface="+mn-cs"/>
                </a:rPr>
                <a:t>)</a:t>
              </a:r>
              <a:r>
                <a:rPr kumimoji="0" lang="de-DE" sz="1800" b="0" i="0" u="none" strike="noStrike" kern="0" cap="none" spc="0" normalizeH="0" baseline="0" noProof="0">
                  <a:ln>
                    <a:noFill/>
                  </a:ln>
                  <a:solidFill>
                    <a:srgbClr val="00B050"/>
                  </a:solidFill>
                  <a:effectLst/>
                  <a:uLnTx/>
                  <a:uFillTx/>
                  <a:latin typeface="Cambria Math"/>
                  <a:ea typeface="+mn-ea"/>
                  <a:cs typeface="+mn-cs"/>
                </a:rPr>
                <a:t>  +</a:t>
              </a:r>
              <a:r>
                <a:rPr kumimoji="0" lang="de-DE" sz="1800" b="0" i="0" u="none" strike="noStrike" kern="0" cap="none" spc="0" normalizeH="0" baseline="0" noProof="0">
                  <a:ln>
                    <a:noFill/>
                  </a:ln>
                  <a:solidFill>
                    <a:srgbClr val="00B050"/>
                  </a:solidFill>
                  <a:effectLst/>
                  <a:uLnTx/>
                  <a:uFillTx/>
                  <a:latin typeface="Cambria Math" panose="02040503050406030204" pitchFamily="18" charset="0"/>
                  <a:ea typeface="+mn-ea"/>
                  <a:cs typeface="+mn-cs"/>
                </a:rPr>
                <a:t>〖</a:t>
              </a:r>
              <a:r>
                <a:rPr kumimoji="0" lang="de-DE" sz="1800" b="0" i="0" u="none" strike="noStrike" kern="0" cap="none" spc="0" normalizeH="0" baseline="0" noProof="0">
                  <a:ln>
                    <a:noFill/>
                  </a:ln>
                  <a:solidFill>
                    <a:srgbClr val="00B050"/>
                  </a:solidFill>
                  <a:effectLst/>
                  <a:uLnTx/>
                  <a:uFillTx/>
                  <a:latin typeface="Cambria Math"/>
                  <a:ea typeface="+mn-ea"/>
                  <a:cs typeface="+mn-cs"/>
                </a:rPr>
                <a:t> 𝑃</a:t>
              </a:r>
              <a:r>
                <a:rPr kumimoji="0" lang="de-DE" sz="1800" b="0" i="0" u="none" strike="noStrike" kern="0" cap="none" spc="0" normalizeH="0" baseline="0" noProof="0">
                  <a:ln>
                    <a:noFill/>
                  </a:ln>
                  <a:solidFill>
                    <a:srgbClr val="00B050"/>
                  </a:solidFill>
                  <a:effectLst/>
                  <a:uLnTx/>
                  <a:uFillTx/>
                  <a:latin typeface="Cambria Math" panose="02040503050406030204" pitchFamily="18" charset="0"/>
                  <a:ea typeface="+mn-ea"/>
                  <a:cs typeface="+mn-cs"/>
                </a:rPr>
                <a:t>〗_(</a:t>
              </a:r>
              <a:r>
                <a:rPr kumimoji="0" lang="de-DE" sz="1800" b="0" i="0" u="none" strike="noStrike" kern="0" cap="none" spc="0" normalizeH="0" baseline="0" noProof="0">
                  <a:ln>
                    <a:noFill/>
                  </a:ln>
                  <a:solidFill>
                    <a:srgbClr val="00B050"/>
                  </a:solidFill>
                  <a:effectLst/>
                  <a:uLnTx/>
                  <a:uFillTx/>
                  <a:latin typeface="Cambria Math"/>
                  <a:ea typeface="+mn-ea"/>
                  <a:cs typeface="+mn-cs"/>
                </a:rPr>
                <a:t>𝑅,𝑡𝐸</a:t>
              </a:r>
              <a:r>
                <a:rPr kumimoji="0" lang="de-DE" sz="1800" b="0" i="0" u="none" strike="noStrike" kern="0" cap="none" spc="0" normalizeH="0" baseline="0" noProof="0">
                  <a:ln>
                    <a:noFill/>
                  </a:ln>
                  <a:solidFill>
                    <a:srgbClr val="00B050"/>
                  </a:solidFill>
                  <a:effectLst/>
                  <a:uLnTx/>
                  <a:uFillTx/>
                  <a:latin typeface="Cambria Math" panose="02040503050406030204" pitchFamily="18" charset="0"/>
                  <a:ea typeface="+mn-ea"/>
                  <a:cs typeface="+mn-cs"/>
                </a:rPr>
                <a:t>) </a:t>
              </a:r>
              <a:r>
                <a:rPr kumimoji="0" lang="de-DE" sz="1800" b="0" i="0" u="none" strike="noStrike" kern="0" cap="none" spc="0" normalizeH="0" baseline="0" noProof="0">
                  <a:ln>
                    <a:noFill/>
                  </a:ln>
                  <a:solidFill>
                    <a:sysClr val="windowText" lastClr="000000"/>
                  </a:solidFill>
                  <a:effectLst/>
                  <a:uLnTx/>
                  <a:uFillTx/>
                  <a:latin typeface="Cambria Math" panose="02040503050406030204" pitchFamily="18" charset="0"/>
                  <a:ea typeface="+mn-ea"/>
                  <a:cs typeface="+mn-cs"/>
                </a:rPr>
                <a:t>)</a:t>
              </a:r>
              <a:r>
                <a:rPr kumimoji="0" lang="de-DE" sz="1800" b="0" i="0" u="none" strike="noStrike" kern="0" cap="none" spc="0" normalizeH="0" baseline="0" noProof="0">
                  <a:ln>
                    <a:noFill/>
                  </a:ln>
                  <a:solidFill>
                    <a:sysClr val="windowText" lastClr="000000"/>
                  </a:solidFill>
                  <a:effectLst/>
                  <a:uLnTx/>
                  <a:uFillTx/>
                  <a:latin typeface="Cambria Math"/>
                  <a:ea typeface="+mn-ea"/>
                  <a:cs typeface="+mn-cs"/>
                </a:rPr>
                <a:t>= </a:t>
              </a:r>
              <a:r>
                <a:rPr kumimoji="0" lang="de-DE" sz="1800" b="0" i="0" u="none" strike="noStrike" kern="0" cap="none" spc="0" normalizeH="0" baseline="0" noProof="0">
                  <a:ln>
                    <a:noFill/>
                  </a:ln>
                  <a:solidFill>
                    <a:srgbClr val="00B0F0"/>
                  </a:solidFill>
                  <a:effectLst/>
                  <a:uLnTx/>
                  <a:uFillTx/>
                  <a:latin typeface="Cambria Math"/>
                  <a:ea typeface="+mn-ea"/>
                  <a:cs typeface="+mn-cs"/>
                </a:rPr>
                <a:t>𝑃</a:t>
              </a:r>
              <a:r>
                <a:rPr kumimoji="0" lang="de-DE" sz="1800" b="0" i="0" u="none" strike="noStrike" kern="0" cap="none" spc="0" normalizeH="0" baseline="0" noProof="0">
                  <a:ln>
                    <a:noFill/>
                  </a:ln>
                  <a:solidFill>
                    <a:srgbClr val="00B0F0"/>
                  </a:solidFill>
                  <a:effectLst/>
                  <a:uLnTx/>
                  <a:uFillTx/>
                  <a:latin typeface="Cambria Math" panose="02040503050406030204" pitchFamily="18" charset="0"/>
                  <a:ea typeface="+mn-ea"/>
                  <a:cs typeface="+mn-cs"/>
                </a:rPr>
                <a:t>_(</a:t>
              </a:r>
              <a:r>
                <a:rPr kumimoji="0" lang="de-DE" sz="1800" b="0" i="0" u="none" strike="noStrike" kern="0" cap="none" spc="0" normalizeH="0" baseline="0" noProof="0">
                  <a:ln>
                    <a:noFill/>
                  </a:ln>
                  <a:solidFill>
                    <a:srgbClr val="00B0F0"/>
                  </a:solidFill>
                  <a:effectLst/>
                  <a:uLnTx/>
                  <a:uFillTx/>
                  <a:latin typeface="Cambria Math"/>
                  <a:ea typeface="+mn-ea"/>
                  <a:cs typeface="+mn-cs"/>
                </a:rPr>
                <a:t>𝑣𝑒𝑟𝑚,𝑡𝑎𝑡</a:t>
              </a:r>
              <a:r>
                <a:rPr kumimoji="0" lang="de-DE" sz="1800" b="0" i="0" u="none" strike="noStrike" kern="0" cap="none" spc="0" normalizeH="0" baseline="0" noProof="0">
                  <a:ln>
                    <a:noFill/>
                  </a:ln>
                  <a:solidFill>
                    <a:srgbClr val="00B0F0"/>
                  </a:solidFill>
                  <a:effectLst/>
                  <a:uLnTx/>
                  <a:uFillTx/>
                  <a:latin typeface="Cambria Math" panose="02040503050406030204" pitchFamily="18" charset="0"/>
                  <a:ea typeface="+mn-ea"/>
                  <a:cs typeface="+mn-cs"/>
                </a:rPr>
                <a:t>)</a:t>
              </a:r>
              <a:r>
                <a:rPr kumimoji="0" lang="de-DE" sz="1800" b="0" i="0" u="none" strike="noStrike" kern="0" cap="none" spc="0" normalizeH="0" baseline="0" noProof="0">
                  <a:ln>
                    <a:noFill/>
                  </a:ln>
                  <a:solidFill>
                    <a:sysClr val="windowText" lastClr="000000"/>
                  </a:solidFill>
                  <a:effectLst/>
                  <a:uLnTx/>
                  <a:uFillTx/>
                  <a:latin typeface="Cambria Math" panose="02040503050406030204" pitchFamily="18" charset="0"/>
                  <a:ea typeface="+mn-ea"/>
                  <a:cs typeface="+mn-cs"/>
                </a:rPr>
                <a:t>/(</a:t>
              </a:r>
              <a:r>
                <a:rPr kumimoji="0" lang="de-DE" sz="1800" b="0" i="0" u="none" strike="noStrike" kern="0" cap="none" spc="0" normalizeH="0" baseline="0" noProof="0">
                  <a:ln>
                    <a:noFill/>
                  </a:ln>
                  <a:solidFill>
                    <a:srgbClr val="00B050"/>
                  </a:solidFill>
                  <a:effectLst/>
                  <a:uLnTx/>
                  <a:uFillTx/>
                  <a:latin typeface="Cambria Math"/>
                  <a:ea typeface="+mn-ea"/>
                  <a:cs typeface="+mn-cs"/>
                </a:rPr>
                <a:t>𝑃</a:t>
              </a:r>
              <a:r>
                <a:rPr kumimoji="0" lang="de-DE" sz="1800" b="0" i="0" u="none" strike="noStrike" kern="0" cap="none" spc="0" normalizeH="0" baseline="0" noProof="0">
                  <a:ln>
                    <a:noFill/>
                  </a:ln>
                  <a:solidFill>
                    <a:srgbClr val="00B050"/>
                  </a:solidFill>
                  <a:effectLst/>
                  <a:uLnTx/>
                  <a:uFillTx/>
                  <a:latin typeface="Cambria Math" panose="02040503050406030204" pitchFamily="18" charset="0"/>
                  <a:ea typeface="+mn-ea"/>
                  <a:cs typeface="+mn-cs"/>
                </a:rPr>
                <a:t>_(</a:t>
              </a:r>
              <a:r>
                <a:rPr kumimoji="0" lang="de-DE" sz="1800" b="0" i="0" u="none" strike="noStrike" kern="0" cap="none" spc="0" normalizeH="0" baseline="0" noProof="0">
                  <a:ln>
                    <a:noFill/>
                  </a:ln>
                  <a:solidFill>
                    <a:srgbClr val="00B050"/>
                  </a:solidFill>
                  <a:effectLst/>
                  <a:uLnTx/>
                  <a:uFillTx/>
                  <a:latin typeface="Cambria Math"/>
                  <a:ea typeface="+mn-ea"/>
                  <a:cs typeface="+mn-cs"/>
                </a:rPr>
                <a:t>𝐸,𝑡𝐸</a:t>
              </a:r>
              <a:r>
                <a:rPr kumimoji="0" lang="de-DE" sz="1800" b="0" i="0" u="none" strike="noStrike" kern="0" cap="none" spc="0" normalizeH="0" baseline="0" noProof="0">
                  <a:ln>
                    <a:noFill/>
                  </a:ln>
                  <a:solidFill>
                    <a:srgbClr val="00B050"/>
                  </a:solidFill>
                  <a:effectLst/>
                  <a:uLnTx/>
                  <a:uFillTx/>
                  <a:latin typeface="Cambria Math" panose="02040503050406030204" pitchFamily="18" charset="0"/>
                  <a:ea typeface="+mn-ea"/>
                  <a:cs typeface="+mn-cs"/>
                </a:rPr>
                <a:t>)</a:t>
              </a:r>
              <a:r>
                <a:rPr kumimoji="0" lang="de-DE" sz="1800" b="0" i="0" u="none" strike="noStrike" kern="0" cap="none" spc="0" normalizeH="0" baseline="0" noProof="0">
                  <a:ln>
                    <a:noFill/>
                  </a:ln>
                  <a:solidFill>
                    <a:srgbClr val="00B050"/>
                  </a:solidFill>
                  <a:effectLst/>
                  <a:uLnTx/>
                  <a:uFillTx/>
                  <a:latin typeface="Cambria Math"/>
                  <a:ea typeface="+mn-ea"/>
                  <a:cs typeface="+mn-cs"/>
                </a:rPr>
                <a:t>  +</a:t>
              </a:r>
              <a:r>
                <a:rPr kumimoji="0" lang="de-DE" sz="1800" b="0" i="0" u="none" strike="noStrike" kern="0" cap="none" spc="0" normalizeH="0" baseline="0" noProof="0">
                  <a:ln>
                    <a:noFill/>
                  </a:ln>
                  <a:solidFill>
                    <a:srgbClr val="00B050"/>
                  </a:solidFill>
                  <a:effectLst/>
                  <a:uLnTx/>
                  <a:uFillTx/>
                  <a:latin typeface="Cambria Math" panose="02040503050406030204" pitchFamily="18" charset="0"/>
                  <a:ea typeface="+mn-ea"/>
                  <a:cs typeface="+mn-cs"/>
                </a:rPr>
                <a:t>〖</a:t>
              </a:r>
              <a:r>
                <a:rPr kumimoji="0" lang="de-DE" sz="1800" b="0" i="0" u="none" strike="noStrike" kern="0" cap="none" spc="0" normalizeH="0" baseline="0" noProof="0">
                  <a:ln>
                    <a:noFill/>
                  </a:ln>
                  <a:solidFill>
                    <a:srgbClr val="00B050"/>
                  </a:solidFill>
                  <a:effectLst/>
                  <a:uLnTx/>
                  <a:uFillTx/>
                  <a:latin typeface="Cambria Math"/>
                  <a:ea typeface="+mn-ea"/>
                  <a:cs typeface="+mn-cs"/>
                </a:rPr>
                <a:t> 𝑃</a:t>
              </a:r>
              <a:r>
                <a:rPr kumimoji="0" lang="de-DE" sz="1800" b="0" i="0" u="none" strike="noStrike" kern="0" cap="none" spc="0" normalizeH="0" baseline="0" noProof="0">
                  <a:ln>
                    <a:noFill/>
                  </a:ln>
                  <a:solidFill>
                    <a:srgbClr val="00B050"/>
                  </a:solidFill>
                  <a:effectLst/>
                  <a:uLnTx/>
                  <a:uFillTx/>
                  <a:latin typeface="Cambria Math" panose="02040503050406030204" pitchFamily="18" charset="0"/>
                  <a:ea typeface="+mn-ea"/>
                  <a:cs typeface="+mn-cs"/>
                </a:rPr>
                <a:t>〗_(</a:t>
              </a:r>
              <a:r>
                <a:rPr kumimoji="0" lang="de-DE" sz="1800" b="0" i="0" u="none" strike="noStrike" kern="0" cap="none" spc="0" normalizeH="0" baseline="0" noProof="0">
                  <a:ln>
                    <a:noFill/>
                  </a:ln>
                  <a:solidFill>
                    <a:srgbClr val="00B050"/>
                  </a:solidFill>
                  <a:effectLst/>
                  <a:uLnTx/>
                  <a:uFillTx/>
                  <a:latin typeface="Cambria Math"/>
                  <a:ea typeface="+mn-ea"/>
                  <a:cs typeface="+mn-cs"/>
                </a:rPr>
                <a:t>𝐴,𝑡𝐸</a:t>
              </a:r>
              <a:r>
                <a:rPr kumimoji="0" lang="de-DE" sz="1800" b="0" i="0" u="none" strike="noStrike" kern="0" cap="none" spc="0" normalizeH="0" baseline="0" noProof="0">
                  <a:ln>
                    <a:noFill/>
                  </a:ln>
                  <a:solidFill>
                    <a:srgbClr val="00B050"/>
                  </a:solidFill>
                  <a:effectLst/>
                  <a:uLnTx/>
                  <a:uFillTx/>
                  <a:latin typeface="Cambria Math" panose="02040503050406030204" pitchFamily="18" charset="0"/>
                  <a:ea typeface="+mn-ea"/>
                  <a:cs typeface="+mn-cs"/>
                </a:rPr>
                <a:t>)</a:t>
              </a:r>
              <a:r>
                <a:rPr kumimoji="0" lang="de-DE" sz="1800" b="0" i="0" u="none" strike="noStrike" kern="0" cap="none" spc="0" normalizeH="0" baseline="0" noProof="0">
                  <a:ln>
                    <a:noFill/>
                  </a:ln>
                  <a:solidFill>
                    <a:srgbClr val="00B050"/>
                  </a:solidFill>
                  <a:effectLst/>
                  <a:uLnTx/>
                  <a:uFillTx/>
                  <a:latin typeface="Cambria Math"/>
                  <a:ea typeface="+mn-ea"/>
                  <a:cs typeface="+mn-cs"/>
                </a:rPr>
                <a:t>  −</a:t>
              </a:r>
              <a:r>
                <a:rPr kumimoji="0" lang="de-DE" sz="1800" b="0" i="0" u="none" strike="noStrike" kern="0" cap="none" spc="0" normalizeH="0" baseline="0" noProof="0">
                  <a:ln>
                    <a:noFill/>
                  </a:ln>
                  <a:solidFill>
                    <a:srgbClr val="00B050"/>
                  </a:solidFill>
                  <a:effectLst/>
                  <a:uLnTx/>
                  <a:uFillTx/>
                  <a:latin typeface="Cambria Math" panose="02040503050406030204" pitchFamily="18" charset="0"/>
                  <a:ea typeface="+mn-ea"/>
                  <a:cs typeface="+mn-cs"/>
                </a:rPr>
                <a:t>〖</a:t>
              </a:r>
              <a:r>
                <a:rPr kumimoji="0" lang="de-DE" sz="1800" b="0" i="0" u="none" strike="noStrike" kern="0" cap="none" spc="0" normalizeH="0" baseline="0" noProof="0">
                  <a:ln>
                    <a:noFill/>
                  </a:ln>
                  <a:solidFill>
                    <a:srgbClr val="00B050"/>
                  </a:solidFill>
                  <a:effectLst/>
                  <a:uLnTx/>
                  <a:uFillTx/>
                  <a:latin typeface="Cambria Math"/>
                  <a:ea typeface="+mn-ea"/>
                  <a:cs typeface="+mn-cs"/>
                </a:rPr>
                <a:t> 𝑃</a:t>
              </a:r>
              <a:r>
                <a:rPr kumimoji="0" lang="de-DE" sz="1800" b="0" i="0" u="none" strike="noStrike" kern="0" cap="none" spc="0" normalizeH="0" baseline="0" noProof="0">
                  <a:ln>
                    <a:noFill/>
                  </a:ln>
                  <a:solidFill>
                    <a:srgbClr val="00B050"/>
                  </a:solidFill>
                  <a:effectLst/>
                  <a:uLnTx/>
                  <a:uFillTx/>
                  <a:latin typeface="Cambria Math" panose="02040503050406030204" pitchFamily="18" charset="0"/>
                  <a:ea typeface="+mn-ea"/>
                  <a:cs typeface="+mn-cs"/>
                </a:rPr>
                <a:t>〗_(</a:t>
              </a:r>
              <a:r>
                <a:rPr kumimoji="0" lang="de-DE" sz="1800" b="0" i="0" u="none" strike="noStrike" kern="0" cap="none" spc="0" normalizeH="0" baseline="0" noProof="0">
                  <a:ln>
                    <a:noFill/>
                  </a:ln>
                  <a:solidFill>
                    <a:srgbClr val="00B050"/>
                  </a:solidFill>
                  <a:effectLst/>
                  <a:uLnTx/>
                  <a:uFillTx/>
                  <a:latin typeface="Cambria Math"/>
                  <a:ea typeface="+mn-ea"/>
                  <a:cs typeface="+mn-cs"/>
                </a:rPr>
                <a:t>𝐵,𝑡𝐸</a:t>
              </a:r>
              <a:r>
                <a:rPr kumimoji="0" lang="de-DE" sz="1800" b="0" i="0" u="none" strike="noStrike" kern="0" cap="none" spc="0" normalizeH="0" baseline="0" noProof="0">
                  <a:ln>
                    <a:noFill/>
                  </a:ln>
                  <a:solidFill>
                    <a:srgbClr val="00B050"/>
                  </a:solidFill>
                  <a:effectLst/>
                  <a:uLnTx/>
                  <a:uFillTx/>
                  <a:latin typeface="Cambria Math" panose="02040503050406030204" pitchFamily="18" charset="0"/>
                  <a:ea typeface="+mn-ea"/>
                  <a:cs typeface="+mn-cs"/>
                </a:rPr>
                <a:t>) </a:t>
              </a:r>
              <a:r>
                <a:rPr kumimoji="0" lang="de-DE" sz="1800" b="0" i="0" u="none" strike="noStrike" kern="0" cap="none" spc="0" normalizeH="0" baseline="0" noProof="0">
                  <a:ln>
                    <a:noFill/>
                  </a:ln>
                  <a:solidFill>
                    <a:sysClr val="windowText" lastClr="000000"/>
                  </a:solidFill>
                  <a:effectLst/>
                  <a:uLnTx/>
                  <a:uFillTx/>
                  <a:latin typeface="Cambria Math" panose="02040503050406030204" pitchFamily="18" charset="0"/>
                  <a:ea typeface="+mn-ea"/>
                  <a:cs typeface="+mn-cs"/>
                </a:rPr>
                <a:t>), falls </a:t>
              </a:r>
              <a:r>
                <a:rPr kumimoji="0" lang="de-DE" sz="1800" b="0" i="0" u="none" strike="noStrike" kern="0" cap="none" spc="0" normalizeH="0" baseline="0" noProof="0">
                  <a:ln>
                    <a:noFill/>
                  </a:ln>
                  <a:solidFill>
                    <a:srgbClr val="00B050"/>
                  </a:solidFill>
                  <a:effectLst/>
                  <a:uLnTx/>
                  <a:uFillTx/>
                  <a:latin typeface="Cambria Math"/>
                  <a:ea typeface="+mn-ea"/>
                  <a:cs typeface="+mn-cs"/>
                </a:rPr>
                <a:t>𝑃</a:t>
              </a:r>
              <a:r>
                <a:rPr kumimoji="0" lang="de-DE" sz="1800" b="0" i="0" u="none" strike="noStrike" kern="0" cap="none" spc="0" normalizeH="0" baseline="0" noProof="0">
                  <a:ln>
                    <a:noFill/>
                  </a:ln>
                  <a:solidFill>
                    <a:srgbClr val="00B050"/>
                  </a:solidFill>
                  <a:effectLst/>
                  <a:uLnTx/>
                  <a:uFillTx/>
                  <a:latin typeface="Cambria Math" panose="02040503050406030204" pitchFamily="18" charset="0"/>
                  <a:ea typeface="+mn-ea"/>
                  <a:cs typeface="+mn-cs"/>
                </a:rPr>
                <a:t>_(</a:t>
              </a:r>
              <a:r>
                <a:rPr kumimoji="0" lang="de-DE" sz="1800" b="0" i="0" u="none" strike="noStrike" kern="0" cap="none" spc="0" normalizeH="0" baseline="0" noProof="0">
                  <a:ln>
                    <a:noFill/>
                  </a:ln>
                  <a:solidFill>
                    <a:srgbClr val="00B050"/>
                  </a:solidFill>
                  <a:effectLst/>
                  <a:uLnTx/>
                  <a:uFillTx/>
                  <a:latin typeface="Cambria Math"/>
                  <a:ea typeface="+mn-ea"/>
                  <a:cs typeface="+mn-cs"/>
                </a:rPr>
                <a:t>𝐷,𝑡𝐸</a:t>
              </a:r>
              <a:r>
                <a:rPr kumimoji="0" lang="de-DE" sz="1800" b="0" i="0" u="none" strike="noStrike" kern="0" cap="none" spc="0" normalizeH="0" baseline="0" noProof="0">
                  <a:ln>
                    <a:noFill/>
                  </a:ln>
                  <a:solidFill>
                    <a:srgbClr val="00B050"/>
                  </a:solidFill>
                  <a:effectLst/>
                  <a:uLnTx/>
                  <a:uFillTx/>
                  <a:latin typeface="Cambria Math" panose="02040503050406030204" pitchFamily="18" charset="0"/>
                  <a:ea typeface="+mn-ea"/>
                  <a:cs typeface="+mn-cs"/>
                </a:rPr>
                <a:t>)</a:t>
              </a:r>
              <a:r>
                <a:rPr kumimoji="0" lang="de-DE" sz="1800" b="0" i="0" u="none" strike="noStrike" kern="0" cap="none" spc="0" normalizeH="0" baseline="0" noProof="0">
                  <a:ln>
                    <a:noFill/>
                  </a:ln>
                  <a:solidFill>
                    <a:srgbClr val="00B050"/>
                  </a:solidFill>
                  <a:effectLst/>
                  <a:uLnTx/>
                  <a:uFillTx/>
                  <a:latin typeface="Cambria Math"/>
                  <a:ea typeface="+mn-ea"/>
                  <a:cs typeface="+mn-cs"/>
                </a:rPr>
                <a:t>  +</a:t>
              </a:r>
              <a:r>
                <a:rPr kumimoji="0" lang="de-DE" sz="1800" b="0" i="0" u="none" strike="noStrike" kern="0" cap="none" spc="0" normalizeH="0" baseline="0" noProof="0">
                  <a:ln>
                    <a:noFill/>
                  </a:ln>
                  <a:solidFill>
                    <a:srgbClr val="00B050"/>
                  </a:solidFill>
                  <a:effectLst/>
                  <a:uLnTx/>
                  <a:uFillTx/>
                  <a:latin typeface="Cambria Math" panose="02040503050406030204" pitchFamily="18" charset="0"/>
                  <a:ea typeface="+mn-ea"/>
                  <a:cs typeface="+mn-cs"/>
                </a:rPr>
                <a:t>〖</a:t>
              </a:r>
              <a:r>
                <a:rPr kumimoji="0" lang="de-DE" sz="1800" b="0" i="0" u="none" strike="noStrike" kern="0" cap="none" spc="0" normalizeH="0" baseline="0" noProof="0">
                  <a:ln>
                    <a:noFill/>
                  </a:ln>
                  <a:solidFill>
                    <a:srgbClr val="00B050"/>
                  </a:solidFill>
                  <a:effectLst/>
                  <a:uLnTx/>
                  <a:uFillTx/>
                  <a:latin typeface="Cambria Math"/>
                  <a:ea typeface="+mn-ea"/>
                  <a:cs typeface="+mn-cs"/>
                </a:rPr>
                <a:t> 𝑃</a:t>
              </a:r>
              <a:r>
                <a:rPr kumimoji="0" lang="de-DE" sz="1800" b="0" i="0" u="none" strike="noStrike" kern="0" cap="none" spc="0" normalizeH="0" baseline="0" noProof="0">
                  <a:ln>
                    <a:noFill/>
                  </a:ln>
                  <a:solidFill>
                    <a:srgbClr val="00B050"/>
                  </a:solidFill>
                  <a:effectLst/>
                  <a:uLnTx/>
                  <a:uFillTx/>
                  <a:latin typeface="Cambria Math" panose="02040503050406030204" pitchFamily="18" charset="0"/>
                  <a:ea typeface="+mn-ea"/>
                  <a:cs typeface="+mn-cs"/>
                </a:rPr>
                <a:t>〗_(</a:t>
              </a:r>
              <a:r>
                <a:rPr kumimoji="0" lang="de-DE" sz="1800" b="0" i="0" u="none" strike="noStrike" kern="0" cap="none" spc="0" normalizeH="0" baseline="0" noProof="0">
                  <a:ln>
                    <a:noFill/>
                  </a:ln>
                  <a:solidFill>
                    <a:srgbClr val="00B050"/>
                  </a:solidFill>
                  <a:effectLst/>
                  <a:uLnTx/>
                  <a:uFillTx/>
                  <a:latin typeface="Cambria Math"/>
                  <a:ea typeface="+mn-ea"/>
                  <a:cs typeface="+mn-cs"/>
                </a:rPr>
                <a:t>𝑅,𝑡𝐸</a:t>
              </a:r>
              <a:r>
                <a:rPr kumimoji="0" lang="de-DE" sz="1800" b="0" i="0" u="none" strike="noStrike" kern="0" cap="none" spc="0" normalizeH="0" baseline="0" noProof="0">
                  <a:ln>
                    <a:noFill/>
                  </a:ln>
                  <a:solidFill>
                    <a:srgbClr val="00B050"/>
                  </a:solidFill>
                  <a:effectLst/>
                  <a:uLnTx/>
                  <a:uFillTx/>
                  <a:latin typeface="Cambria Math" panose="02040503050406030204" pitchFamily="18" charset="0"/>
                  <a:ea typeface="+mn-ea"/>
                  <a:cs typeface="+mn-cs"/>
                </a:rPr>
                <a:t>)</a:t>
              </a:r>
              <a:r>
                <a:rPr kumimoji="0" lang="de-DE" sz="1800" b="0" i="0" u="none" strike="noStrike" kern="0" cap="none" spc="0" normalizeH="0" baseline="0" noProof="0">
                  <a:ln>
                    <a:noFill/>
                  </a:ln>
                  <a:solidFill>
                    <a:sysClr val="windowText" lastClr="000000"/>
                  </a:solidFill>
                  <a:effectLst/>
                  <a:uLnTx/>
                  <a:uFillTx/>
                  <a:latin typeface="Cambria Math" panose="02040503050406030204" pitchFamily="18" charset="0"/>
                  <a:ea typeface="+mn-ea"/>
                  <a:cs typeface="+mn-cs"/>
                </a:rPr>
                <a:t>&gt;0</a:t>
              </a:r>
              <a:r>
                <a:rPr kumimoji="0" lang="de-DE" sz="1800" b="0" i="0" u="none" strike="noStrike" kern="0" cap="none" spc="0" normalizeH="0" baseline="0" noProof="0">
                  <a:ln>
                    <a:noFill/>
                  </a:ln>
                  <a:solidFill>
                    <a:srgbClr val="00B050"/>
                  </a:solidFill>
                  <a:effectLst/>
                  <a:uLnTx/>
                  <a:uFillTx/>
                  <a:latin typeface="Cambria Math" panose="02040503050406030204" pitchFamily="18" charset="0"/>
                  <a:ea typeface="+mn-ea"/>
                  <a:cs typeface="+mn-cs"/>
                </a:rPr>
                <a:t> </a:t>
              </a:r>
              <a:r>
                <a:rPr kumimoji="0" lang="de-DE" sz="1800" b="1" i="0" u="none" strike="noStrike" kern="0" cap="none" spc="0" normalizeH="0" baseline="0" noProof="0">
                  <a:ln>
                    <a:noFill/>
                  </a:ln>
                  <a:solidFill>
                    <a:sysClr val="windowText" lastClr="000000"/>
                  </a:solidFill>
                  <a:effectLst/>
                  <a:uLnTx/>
                  <a:uFillTx/>
                  <a:latin typeface="Cambria Math" panose="02040503050406030204" pitchFamily="18" charset="0"/>
                  <a:ea typeface="+mn-ea"/>
                  <a:cs typeface="+mn-cs"/>
                </a:rPr>
                <a:t>@</a:t>
              </a:r>
              <a:r>
                <a:rPr lang="de-DE" sz="1800" b="0" i="0" baseline="0">
                  <a:solidFill>
                    <a:sysClr val="windowText" lastClr="000000"/>
                  </a:solidFill>
                  <a:latin typeface="Cambria Math" panose="02040503050406030204" pitchFamily="18" charset="0"/>
                </a:rPr>
                <a:t>0, sonst</a:t>
              </a:r>
              <a:r>
                <a:rPr lang="de-DE" sz="1800" b="1" i="0" baseline="0">
                  <a:solidFill>
                    <a:sysClr val="windowText" lastClr="000000"/>
                  </a:solidFill>
                  <a:latin typeface="Cambria Math" panose="02040503050406030204" pitchFamily="18" charset="0"/>
                </a:rPr>
                <a:t>)┤</a:t>
              </a:r>
              <a:endParaRPr lang="de-DE" sz="1800" b="0" baseline="0">
                <a:solidFill>
                  <a:sysClr val="windowText" lastClr="000000"/>
                </a:solidFill>
                <a:latin typeface="Cambria" panose="02040503050406030204" pitchFamily="18" charset="0"/>
                <a:ea typeface="Cambria" panose="02040503050406030204" pitchFamily="18" charset="0"/>
              </a:endParaRPr>
            </a:p>
            <a:p>
              <a:pPr marL="342900" indent="-342900">
                <a:buClr>
                  <a:schemeClr val="tx1"/>
                </a:buClr>
                <a:buFont typeface="Wingdings" panose="05000000000000000000" pitchFamily="2" charset="2"/>
                <a:buChar char="Ø"/>
              </a:pPr>
              <a:r>
                <a:rPr lang="de-DE" sz="1800">
                  <a:solidFill>
                    <a:srgbClr val="000000"/>
                  </a:solidFill>
                  <a:latin typeface="Cambria" panose="02040503050406030204" pitchFamily="18" charset="0"/>
                  <a:ea typeface="Cambria" panose="02040503050406030204" pitchFamily="18" charset="0"/>
                </a:rPr>
                <a:t>(tatsächliche) Vermeidungsleistung des </a:t>
              </a:r>
              <a:r>
                <a:rPr lang="de-DE" sz="1800" i="1">
                  <a:solidFill>
                    <a:srgbClr val="000000"/>
                  </a:solidFill>
                  <a:latin typeface="Cambria" panose="02040503050406030204" pitchFamily="18" charset="0"/>
                  <a:ea typeface="Cambria" panose="02040503050406030204" pitchFamily="18" charset="0"/>
                </a:rPr>
                <a:t>k</a:t>
              </a:r>
              <a:r>
                <a:rPr lang="de-DE" sz="1800">
                  <a:solidFill>
                    <a:srgbClr val="000000"/>
                  </a:solidFill>
                  <a:latin typeface="Cambria" panose="02040503050406030204" pitchFamily="18" charset="0"/>
                  <a:ea typeface="Cambria" panose="02040503050406030204" pitchFamily="18" charset="0"/>
                </a:rPr>
                <a:t>-ten Einspeisers mit IST-Bewertung = </a:t>
              </a:r>
              <a:r>
                <a:rPr lang="de-DE" sz="1800" i="0">
                  <a:solidFill>
                    <a:srgbClr val="000000"/>
                  </a:solidFill>
                  <a:latin typeface="Cambria Math"/>
                </a:rPr>
                <a:t>𝑃</a:t>
              </a:r>
              <a:r>
                <a:rPr lang="de-DE" sz="1800" i="0">
                  <a:solidFill>
                    <a:srgbClr val="000000"/>
                  </a:solidFill>
                  <a:latin typeface="Cambria Math" panose="02040503050406030204" pitchFamily="18" charset="0"/>
                </a:rPr>
                <a:t>_(</a:t>
              </a:r>
              <a:r>
                <a:rPr lang="de-DE" sz="1800" b="0" i="0">
                  <a:solidFill>
                    <a:srgbClr val="000000"/>
                  </a:solidFill>
                  <a:latin typeface="Cambria Math"/>
                </a:rPr>
                <a:t>𝑖,</a:t>
              </a:r>
              <a:r>
                <a:rPr lang="de-DE" sz="1800" i="0">
                  <a:solidFill>
                    <a:srgbClr val="000000"/>
                  </a:solidFill>
                  <a:latin typeface="Cambria Math"/>
                </a:rPr>
                <a:t>𝑡𝐸</a:t>
              </a:r>
              <a:r>
                <a:rPr lang="de-DE" sz="1800" i="0">
                  <a:solidFill>
                    <a:srgbClr val="000000"/>
                  </a:solidFill>
                  <a:latin typeface="Cambria Math" panose="02040503050406030204" pitchFamily="18" charset="0"/>
                </a:rPr>
                <a:t>)^</a:t>
              </a:r>
              <a:r>
                <a:rPr lang="de-DE" sz="1800" b="0" i="0">
                  <a:solidFill>
                    <a:srgbClr val="000000"/>
                  </a:solidFill>
                  <a:latin typeface="Cambria Math"/>
                </a:rPr>
                <a:t>𝑘</a:t>
              </a:r>
              <a:r>
                <a:rPr lang="de-DE" sz="1800" i="0">
                  <a:solidFill>
                    <a:srgbClr val="000000"/>
                  </a:solidFill>
                  <a:latin typeface="Cambria Math"/>
                </a:rPr>
                <a:t>∗𝑠</a:t>
              </a:r>
              <a:endParaRPr lang="de-DE" sz="1800">
                <a:solidFill>
                  <a:srgbClr val="000000"/>
                </a:solidFill>
                <a:latin typeface="Cambria" panose="02040503050406030204" pitchFamily="18" charset="0"/>
                <a:ea typeface="Cambria" panose="02040503050406030204" pitchFamily="18" charset="0"/>
              </a:endParaRPr>
            </a:p>
          </xdr:txBody>
        </xdr:sp>
      </mc:Fallback>
    </mc:AlternateContent>
    <xdr:clientData/>
  </xdr:twoCellAnchor>
  <xdr:twoCellAnchor>
    <xdr:from>
      <xdr:col>10</xdr:col>
      <xdr:colOff>200024</xdr:colOff>
      <xdr:row>86</xdr:row>
      <xdr:rowOff>142874</xdr:rowOff>
    </xdr:from>
    <xdr:to>
      <xdr:col>11</xdr:col>
      <xdr:colOff>476250</xdr:colOff>
      <xdr:row>89</xdr:row>
      <xdr:rowOff>142874</xdr:rowOff>
    </xdr:to>
    <mc:AlternateContent xmlns:mc="http://schemas.openxmlformats.org/markup-compatibility/2006" xmlns:a14="http://schemas.microsoft.com/office/drawing/2010/main">
      <mc:Choice Requires="a14">
        <xdr:sp macro="" textlink="">
          <xdr:nvSpPr>
            <xdr:cNvPr id="9" name="Textfeld 8">
              <a:extLst>
                <a:ext uri="{FF2B5EF4-FFF2-40B4-BE49-F238E27FC236}">
                  <a16:creationId xmlns:a16="http://schemas.microsoft.com/office/drawing/2014/main" id="{00000000-0008-0000-0C00-000009000000}"/>
                </a:ext>
              </a:extLst>
            </xdr:cNvPr>
            <xdr:cNvSpPr txBox="1"/>
          </xdr:nvSpPr>
          <xdr:spPr>
            <a:xfrm>
              <a:off x="7820024" y="12315824"/>
              <a:ext cx="1038226" cy="485775"/>
            </a:xfrm>
            <a:prstGeom prst="rect">
              <a:avLst/>
            </a:prstGeom>
            <a:solidFill>
              <a:srgbClr val="F0F0F0"/>
            </a:solidFill>
          </xdr:spPr>
          <xdr:txBody>
            <a:bodyPr wrap="square" rtlCol="0">
              <a:noAutofit/>
            </a:bodyPr>
            <a:lstStyle>
              <a:defPPr>
                <a:defRPr lang="de-DE"/>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r>
                <a:rPr lang="de-DE" sz="2000" i="1" baseline="0">
                  <a:solidFill>
                    <a:sysClr val="windowText" lastClr="000000"/>
                  </a:solidFill>
                  <a:latin typeface="+mn-lt"/>
                </a:rPr>
                <a:t>s *</a:t>
              </a:r>
              <a:r>
                <a:rPr lang="de-DE" sz="2000" i="1" baseline="0">
                  <a:solidFill>
                    <a:srgbClr val="00B050"/>
                  </a:solidFill>
                  <a:latin typeface="+mn-lt"/>
                </a:rPr>
                <a:t> </a:t>
              </a:r>
              <a14:m>
                <m:oMath xmlns:m="http://schemas.openxmlformats.org/officeDocument/2006/math">
                  <m:sSubSup>
                    <m:sSubSupPr>
                      <m:ctrlPr>
                        <a:rPr kumimoji="0" lang="de-DE" sz="2000" b="0" i="1" u="none" strike="noStrike" kern="1200" cap="none" spc="0" normalizeH="0" baseline="0" noProof="0">
                          <a:ln>
                            <a:noFill/>
                          </a:ln>
                          <a:solidFill>
                            <a:srgbClr val="00B050"/>
                          </a:solidFill>
                          <a:effectLst/>
                          <a:uLnTx/>
                          <a:uFillTx/>
                          <a:latin typeface="Cambria Math" panose="02040503050406030204" pitchFamily="18" charset="0"/>
                          <a:ea typeface="+mn-ea"/>
                          <a:cs typeface="+mn-cs"/>
                        </a:rPr>
                      </m:ctrlPr>
                    </m:sSubSupPr>
                    <m:e>
                      <m:r>
                        <a:rPr kumimoji="0" lang="de-DE" sz="2000" b="0" i="1" u="none" strike="noStrike" kern="1200" cap="none" spc="0" normalizeH="0" baseline="0" noProof="0">
                          <a:ln>
                            <a:noFill/>
                          </a:ln>
                          <a:solidFill>
                            <a:srgbClr val="00B050"/>
                          </a:solidFill>
                          <a:effectLst/>
                          <a:uLnTx/>
                          <a:uFillTx/>
                          <a:latin typeface="Cambria Math"/>
                          <a:ea typeface="+mn-ea"/>
                          <a:cs typeface="+mn-cs"/>
                        </a:rPr>
                        <m:t>𝑃</m:t>
                      </m:r>
                    </m:e>
                    <m:sub>
                      <m:r>
                        <a:rPr kumimoji="0" lang="de-DE" sz="2000" b="0" i="1" u="none" strike="noStrike" kern="1200" cap="none" spc="0" normalizeH="0" baseline="0" noProof="0">
                          <a:ln>
                            <a:noFill/>
                          </a:ln>
                          <a:solidFill>
                            <a:srgbClr val="00B050"/>
                          </a:solidFill>
                          <a:effectLst/>
                          <a:uLnTx/>
                          <a:uFillTx/>
                          <a:latin typeface="Cambria Math"/>
                          <a:ea typeface="+mn-ea"/>
                          <a:cs typeface="+mn-cs"/>
                        </a:rPr>
                        <m:t>𝑖</m:t>
                      </m:r>
                      <m:r>
                        <a:rPr kumimoji="0" lang="de-DE" sz="2000" b="0" i="1" u="none" strike="noStrike" kern="1200" cap="none" spc="0" normalizeH="0" baseline="0" noProof="0">
                          <a:ln>
                            <a:noFill/>
                          </a:ln>
                          <a:solidFill>
                            <a:srgbClr val="00B050"/>
                          </a:solidFill>
                          <a:effectLst/>
                          <a:uLnTx/>
                          <a:uFillTx/>
                          <a:latin typeface="Cambria Math"/>
                          <a:ea typeface="+mn-ea"/>
                          <a:cs typeface="+mn-cs"/>
                        </a:rPr>
                        <m:t>,</m:t>
                      </m:r>
                      <m:r>
                        <a:rPr kumimoji="0" lang="de-DE" sz="2000" b="0" i="1" u="none" strike="noStrike" kern="1200" cap="none" spc="0" normalizeH="0" baseline="0" noProof="0">
                          <a:ln>
                            <a:noFill/>
                          </a:ln>
                          <a:solidFill>
                            <a:srgbClr val="00B050"/>
                          </a:solidFill>
                          <a:effectLst/>
                          <a:uLnTx/>
                          <a:uFillTx/>
                          <a:latin typeface="Cambria Math"/>
                          <a:ea typeface="+mn-ea"/>
                          <a:cs typeface="+mn-cs"/>
                        </a:rPr>
                        <m:t>𝑡𝐸</m:t>
                      </m:r>
                    </m:sub>
                    <m:sup>
                      <m:r>
                        <a:rPr kumimoji="0" lang="de-DE" sz="2000" b="0" i="1" u="none" strike="noStrike" kern="1200" cap="none" spc="0" normalizeH="0" baseline="0" noProof="0">
                          <a:ln>
                            <a:noFill/>
                          </a:ln>
                          <a:solidFill>
                            <a:srgbClr val="00B050"/>
                          </a:solidFill>
                          <a:effectLst/>
                          <a:uLnTx/>
                          <a:uFillTx/>
                          <a:latin typeface="Cambria Math"/>
                          <a:ea typeface="+mn-ea"/>
                          <a:cs typeface="+mn-cs"/>
                        </a:rPr>
                        <m:t>𝐿</m:t>
                      </m:r>
                    </m:sup>
                  </m:sSubSup>
                </m:oMath>
              </a14:m>
              <a:endParaRPr lang="de-DE" sz="2000">
                <a:latin typeface="+mn-lt"/>
              </a:endParaRPr>
            </a:p>
          </xdr:txBody>
        </xdr:sp>
      </mc:Choice>
      <mc:Fallback xmlns="">
        <xdr:sp macro="" textlink="">
          <xdr:nvSpPr>
            <xdr:cNvPr id="9" name="Textfeld 8"/>
            <xdr:cNvSpPr txBox="1"/>
          </xdr:nvSpPr>
          <xdr:spPr>
            <a:xfrm>
              <a:off x="7820024" y="12315824"/>
              <a:ext cx="1038226" cy="485775"/>
            </a:xfrm>
            <a:prstGeom prst="rect">
              <a:avLst/>
            </a:prstGeom>
            <a:solidFill>
              <a:srgbClr val="F0F0F0"/>
            </a:solidFill>
          </xdr:spPr>
          <xdr:txBody>
            <a:bodyPr wrap="square" rtlCol="0">
              <a:noAutofit/>
            </a:bodyPr>
            <a:lstStyle>
              <a:defPPr>
                <a:defRPr lang="de-DE"/>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r>
                <a:rPr lang="de-DE" sz="2000" i="1" baseline="0">
                  <a:solidFill>
                    <a:sysClr val="windowText" lastClr="000000"/>
                  </a:solidFill>
                  <a:latin typeface="+mn-lt"/>
                </a:rPr>
                <a:t>s *</a:t>
              </a:r>
              <a:r>
                <a:rPr lang="de-DE" sz="2000" i="1" baseline="0">
                  <a:solidFill>
                    <a:srgbClr val="00B050"/>
                  </a:solidFill>
                  <a:latin typeface="+mn-lt"/>
                </a:rPr>
                <a:t> </a:t>
              </a:r>
              <a:r>
                <a:rPr kumimoji="0" lang="de-DE" sz="2000" b="0" i="0" u="none" strike="noStrike" kern="1200" cap="none" spc="0" normalizeH="0" baseline="0" noProof="0">
                  <a:ln>
                    <a:noFill/>
                  </a:ln>
                  <a:solidFill>
                    <a:srgbClr val="00B050"/>
                  </a:solidFill>
                  <a:effectLst/>
                  <a:uLnTx/>
                  <a:uFillTx/>
                  <a:latin typeface="Cambria Math"/>
                  <a:ea typeface="+mn-ea"/>
                  <a:cs typeface="+mn-cs"/>
                </a:rPr>
                <a:t>𝑃_(𝑖,𝑡𝐸)^𝐿</a:t>
              </a:r>
              <a:endParaRPr lang="de-DE" sz="2000">
                <a:latin typeface="+mn-lt"/>
              </a:endParaRPr>
            </a:p>
          </xdr:txBody>
        </xdr:sp>
      </mc:Fallback>
    </mc:AlternateContent>
    <xdr:clientData/>
  </xdr:twoCellAnchor>
  <xdr:twoCellAnchor>
    <xdr:from>
      <xdr:col>6</xdr:col>
      <xdr:colOff>266699</xdr:colOff>
      <xdr:row>88</xdr:row>
      <xdr:rowOff>142874</xdr:rowOff>
    </xdr:from>
    <xdr:to>
      <xdr:col>7</xdr:col>
      <xdr:colOff>276224</xdr:colOff>
      <xdr:row>93</xdr:row>
      <xdr:rowOff>57150</xdr:rowOff>
    </xdr:to>
    <mc:AlternateContent xmlns:mc="http://schemas.openxmlformats.org/markup-compatibility/2006" xmlns:a14="http://schemas.microsoft.com/office/drawing/2010/main">
      <mc:Choice Requires="a14">
        <xdr:sp macro="" textlink="">
          <xdr:nvSpPr>
            <xdr:cNvPr id="10" name="Textfeld 8">
              <a:extLst>
                <a:ext uri="{FF2B5EF4-FFF2-40B4-BE49-F238E27FC236}">
                  <a16:creationId xmlns:a16="http://schemas.microsoft.com/office/drawing/2014/main" id="{00000000-0008-0000-0C00-00000A000000}"/>
                </a:ext>
              </a:extLst>
            </xdr:cNvPr>
            <xdr:cNvSpPr txBox="1"/>
          </xdr:nvSpPr>
          <xdr:spPr>
            <a:xfrm>
              <a:off x="4838699" y="14344649"/>
              <a:ext cx="771525" cy="723901"/>
            </a:xfrm>
            <a:prstGeom prst="rect">
              <a:avLst/>
            </a:prstGeom>
            <a:solidFill>
              <a:srgbClr val="F0F0F0"/>
            </a:solidFill>
          </xdr:spPr>
          <xdr:txBody>
            <a:bodyPr wrap="square" rtlCol="0">
              <a:noAutofit/>
            </a:bodyPr>
            <a:lstStyle>
              <a:defPPr>
                <a:defRPr lang="de-DE"/>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marL="0" marR="0" indent="0" algn="l" defTabSz="914400" rtl="0" eaLnBrk="1" fontAlgn="base" latinLnBrk="0" hangingPunct="1">
                <a:lnSpc>
                  <a:spcPct val="100000"/>
                </a:lnSpc>
                <a:spcBef>
                  <a:spcPct val="0"/>
                </a:spcBef>
                <a:spcAft>
                  <a:spcPct val="0"/>
                </a:spcAft>
                <a:buClrTx/>
                <a:buSzTx/>
                <a:buFontTx/>
                <a:buNone/>
                <a:tabLst/>
                <a:defRPr/>
              </a:pPr>
              <a14:m>
                <m:oMathPara xmlns:m="http://schemas.openxmlformats.org/officeDocument/2006/math">
                  <m:oMathParaPr>
                    <m:jc m:val="centerGroup"/>
                  </m:oMathParaPr>
                  <m:oMath xmlns:m="http://schemas.openxmlformats.org/officeDocument/2006/math">
                    <m:sSubSup>
                      <m:sSubSupPr>
                        <m:ctrlPr>
                          <a:rPr lang="de-DE" sz="2000" i="1" kern="1200">
                            <a:solidFill>
                              <a:srgbClr val="00B050"/>
                            </a:solidFill>
                            <a:effectLst/>
                            <a:latin typeface="Cambria Math" panose="02040503050406030204" pitchFamily="18" charset="0"/>
                            <a:ea typeface="+mn-ea"/>
                            <a:cs typeface="+mn-cs"/>
                          </a:rPr>
                        </m:ctrlPr>
                      </m:sSubSupPr>
                      <m:e>
                        <m:r>
                          <a:rPr lang="de-DE" sz="2000" i="1" kern="1200">
                            <a:solidFill>
                              <a:srgbClr val="00B050"/>
                            </a:solidFill>
                            <a:effectLst/>
                            <a:latin typeface="Cambria Math"/>
                            <a:ea typeface="+mn-ea"/>
                            <a:cs typeface="+mn-cs"/>
                          </a:rPr>
                          <m:t>𝑃</m:t>
                        </m:r>
                      </m:e>
                      <m:sub>
                        <m:r>
                          <a:rPr lang="de-DE" sz="2000" i="1" kern="1200">
                            <a:solidFill>
                              <a:srgbClr val="00B050"/>
                            </a:solidFill>
                            <a:effectLst/>
                            <a:latin typeface="Cambria Math"/>
                            <a:ea typeface="+mn-ea"/>
                            <a:cs typeface="+mn-cs"/>
                          </a:rPr>
                          <m:t>𝑖</m:t>
                        </m:r>
                        <m:r>
                          <a:rPr lang="de-DE" sz="2000" i="1" kern="1200">
                            <a:solidFill>
                              <a:srgbClr val="00B050"/>
                            </a:solidFill>
                            <a:effectLst/>
                            <a:latin typeface="Cambria Math"/>
                            <a:ea typeface="+mn-ea"/>
                            <a:cs typeface="+mn-cs"/>
                          </a:rPr>
                          <m:t>,</m:t>
                        </m:r>
                        <m:r>
                          <a:rPr lang="de-DE" sz="2000" b="0" i="1" kern="1200">
                            <a:solidFill>
                              <a:srgbClr val="00B050"/>
                            </a:solidFill>
                            <a:effectLst/>
                            <a:latin typeface="Cambria Math"/>
                            <a:ea typeface="+mn-ea"/>
                            <a:cs typeface="+mn-cs"/>
                          </a:rPr>
                          <m:t>𝑡</m:t>
                        </m:r>
                        <m:r>
                          <a:rPr lang="de-DE" sz="2000" i="1" kern="1200">
                            <a:solidFill>
                              <a:srgbClr val="00B050"/>
                            </a:solidFill>
                            <a:effectLst/>
                            <a:latin typeface="Cambria Math"/>
                            <a:ea typeface="+mn-ea"/>
                            <a:cs typeface="+mn-cs"/>
                          </a:rPr>
                          <m:t>𝐸</m:t>
                        </m:r>
                      </m:sub>
                      <m:sup>
                        <m:r>
                          <a:rPr lang="de-DE" sz="2000" i="1" kern="1200">
                            <a:solidFill>
                              <a:srgbClr val="00B050"/>
                            </a:solidFill>
                            <a:effectLst/>
                            <a:latin typeface="Cambria Math"/>
                            <a:ea typeface="+mn-ea"/>
                            <a:cs typeface="+mn-cs"/>
                          </a:rPr>
                          <m:t>𝐿</m:t>
                        </m:r>
                      </m:sup>
                    </m:sSubSup>
                  </m:oMath>
                </m:oMathPara>
              </a14:m>
              <a:endParaRPr lang="de-DE" sz="2000" kern="1200">
                <a:solidFill>
                  <a:schemeClr val="tx1"/>
                </a:solidFill>
                <a:effectLst/>
                <a:latin typeface="Arial" charset="0"/>
                <a:ea typeface="+mn-ea"/>
                <a:cs typeface="+mn-cs"/>
              </a:endParaRPr>
            </a:p>
            <a:p>
              <a:endParaRPr lang="de-DE" sz="2000">
                <a:latin typeface="+mn-lt"/>
              </a:endParaRPr>
            </a:p>
          </xdr:txBody>
        </xdr:sp>
      </mc:Choice>
      <mc:Fallback xmlns="">
        <xdr:sp macro="" textlink="">
          <xdr:nvSpPr>
            <xdr:cNvPr id="10" name="Textfeld 8"/>
            <xdr:cNvSpPr txBox="1"/>
          </xdr:nvSpPr>
          <xdr:spPr>
            <a:xfrm>
              <a:off x="4838699" y="14344649"/>
              <a:ext cx="771525" cy="723901"/>
            </a:xfrm>
            <a:prstGeom prst="rect">
              <a:avLst/>
            </a:prstGeom>
            <a:solidFill>
              <a:srgbClr val="F0F0F0"/>
            </a:solidFill>
          </xdr:spPr>
          <xdr:txBody>
            <a:bodyPr wrap="square" rtlCol="0">
              <a:noAutofit/>
            </a:bodyPr>
            <a:lstStyle>
              <a:defPPr>
                <a:defRPr lang="de-DE"/>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marL="0" marR="0" indent="0" algn="l" defTabSz="914400" rtl="0" eaLnBrk="1" fontAlgn="base" latinLnBrk="0" hangingPunct="1">
                <a:lnSpc>
                  <a:spcPct val="100000"/>
                </a:lnSpc>
                <a:spcBef>
                  <a:spcPct val="0"/>
                </a:spcBef>
                <a:spcAft>
                  <a:spcPct val="0"/>
                </a:spcAft>
                <a:buClrTx/>
                <a:buSzTx/>
                <a:buFontTx/>
                <a:buNone/>
                <a:tabLst/>
                <a:defRPr/>
              </a:pPr>
              <a:r>
                <a:rPr lang="de-DE" sz="2000" i="0" kern="1200">
                  <a:solidFill>
                    <a:srgbClr val="00B050"/>
                  </a:solidFill>
                  <a:effectLst/>
                  <a:latin typeface="Arial" charset="0"/>
                  <a:ea typeface="+mn-ea"/>
                  <a:cs typeface="+mn-cs"/>
                </a:rPr>
                <a:t>𝑃_(𝑖,</a:t>
              </a:r>
              <a:r>
                <a:rPr lang="de-DE" sz="2000" b="0" i="0" kern="1200">
                  <a:solidFill>
                    <a:srgbClr val="00B050"/>
                  </a:solidFill>
                  <a:effectLst/>
                  <a:latin typeface="Cambria Math"/>
                  <a:ea typeface="+mn-ea"/>
                  <a:cs typeface="+mn-cs"/>
                </a:rPr>
                <a:t>𝑡</a:t>
              </a:r>
              <a:r>
                <a:rPr lang="de-DE" sz="2000" i="0" kern="1200">
                  <a:solidFill>
                    <a:srgbClr val="00B050"/>
                  </a:solidFill>
                  <a:effectLst/>
                  <a:latin typeface="Arial" charset="0"/>
                  <a:ea typeface="+mn-ea"/>
                  <a:cs typeface="+mn-cs"/>
                </a:rPr>
                <a:t>𝐸)^𝐿</a:t>
              </a:r>
              <a:endParaRPr lang="de-DE" sz="2000" kern="1200">
                <a:solidFill>
                  <a:schemeClr val="tx1"/>
                </a:solidFill>
                <a:effectLst/>
                <a:latin typeface="Arial" charset="0"/>
                <a:ea typeface="+mn-ea"/>
                <a:cs typeface="+mn-cs"/>
              </a:endParaRPr>
            </a:p>
            <a:p>
              <a:endParaRPr lang="de-DE" sz="2000">
                <a:latin typeface="+mn-lt"/>
              </a:endParaRPr>
            </a:p>
          </xdr:txBody>
        </xdr:sp>
      </mc:Fallback>
    </mc:AlternateContent>
    <xdr:clientData/>
  </xdr:twoCellAnchor>
  <xdr:twoCellAnchor>
    <xdr:from>
      <xdr:col>4</xdr:col>
      <xdr:colOff>742950</xdr:colOff>
      <xdr:row>99</xdr:row>
      <xdr:rowOff>9525</xdr:rowOff>
    </xdr:from>
    <xdr:to>
      <xdr:col>7</xdr:col>
      <xdr:colOff>428625</xdr:colOff>
      <xdr:row>102</xdr:row>
      <xdr:rowOff>133350</xdr:rowOff>
    </xdr:to>
    <mc:AlternateContent xmlns:mc="http://schemas.openxmlformats.org/markup-compatibility/2006" xmlns:a14="http://schemas.microsoft.com/office/drawing/2010/main">
      <mc:Choice Requires="a14">
        <xdr:sp macro="" textlink="">
          <xdr:nvSpPr>
            <xdr:cNvPr id="15" name="Textfeld 14">
              <a:extLst>
                <a:ext uri="{FF2B5EF4-FFF2-40B4-BE49-F238E27FC236}">
                  <a16:creationId xmlns:a16="http://schemas.microsoft.com/office/drawing/2014/main" id="{00000000-0008-0000-0C00-00000F000000}"/>
                </a:ext>
              </a:extLst>
            </xdr:cNvPr>
            <xdr:cNvSpPr txBox="1"/>
          </xdr:nvSpPr>
          <xdr:spPr>
            <a:xfrm>
              <a:off x="3790950" y="15992475"/>
              <a:ext cx="1971675" cy="609600"/>
            </a:xfrm>
            <a:prstGeom prst="rect">
              <a:avLst/>
            </a:prstGeom>
            <a:solidFill>
              <a:srgbClr val="F0F0F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0" lang="de-DE" sz="2000" b="0" i="1" u="none" strike="noStrike" kern="0" cap="none" spc="0" normalizeH="0" baseline="0" noProof="0">
                  <a:ln>
                    <a:noFill/>
                  </a:ln>
                  <a:solidFill>
                    <a:srgbClr val="FF0000"/>
                  </a:solidFill>
                  <a:effectLst/>
                  <a:uLnTx/>
                  <a:uFillTx/>
                  <a:latin typeface="+mn-lt"/>
                  <a:ea typeface="+mn-ea"/>
                  <a:cs typeface="+mn-cs"/>
                </a:rPr>
                <a:t>a</a:t>
              </a:r>
              <a:r>
                <a:rPr kumimoji="0" lang="de-DE" sz="2000" b="0" i="1" u="none" strike="noStrike" kern="0" cap="none" spc="0" normalizeH="0" baseline="30000" noProof="0">
                  <a:ln>
                    <a:noFill/>
                  </a:ln>
                  <a:solidFill>
                    <a:srgbClr val="FF0000"/>
                  </a:solidFill>
                  <a:effectLst/>
                  <a:uLnTx/>
                  <a:uFillTx/>
                  <a:latin typeface="+mn-lt"/>
                  <a:ea typeface="+mn-ea"/>
                  <a:cs typeface="+mn-cs"/>
                </a:rPr>
                <a:t>L</a:t>
              </a:r>
              <a:r>
                <a:rPr kumimoji="0" lang="de-DE" sz="2000" b="0" i="1" u="none" strike="noStrike" kern="0" cap="none" spc="0" normalizeH="0" baseline="0" noProof="0">
                  <a:ln>
                    <a:noFill/>
                  </a:ln>
                  <a:solidFill>
                    <a:srgbClr val="FF0000"/>
                  </a:solidFill>
                  <a:effectLst/>
                  <a:uLnTx/>
                  <a:uFillTx/>
                  <a:latin typeface="+mn-lt"/>
                  <a:ea typeface="+mn-ea"/>
                  <a:cs typeface="+mn-cs"/>
                </a:rPr>
                <a:t> *</a:t>
              </a:r>
              <a:r>
                <a:rPr kumimoji="0" lang="de-DE" sz="2000" b="0" i="1" u="none" strike="noStrike" kern="0" cap="none" spc="0" normalizeH="0" baseline="0" noProof="0">
                  <a:ln>
                    <a:noFill/>
                  </a:ln>
                  <a:solidFill>
                    <a:srgbClr val="00B050"/>
                  </a:solidFill>
                  <a:effectLst/>
                  <a:uLnTx/>
                  <a:uFillTx/>
                  <a:latin typeface="+mn-lt"/>
                  <a:ea typeface="+mn-ea"/>
                  <a:cs typeface="+mn-cs"/>
                </a:rPr>
                <a:t> </a:t>
              </a:r>
              <a14:m>
                <m:oMath xmlns:m="http://schemas.openxmlformats.org/officeDocument/2006/math">
                  <m:sSubSup>
                    <m:sSubSupPr>
                      <m:ctrlPr>
                        <a:rPr kumimoji="0" lang="de-DE" sz="2000" b="0" i="1" u="none" strike="noStrike" kern="1200" cap="none" spc="0" normalizeH="0" baseline="0" noProof="0">
                          <a:ln>
                            <a:noFill/>
                          </a:ln>
                          <a:solidFill>
                            <a:srgbClr val="00B050"/>
                          </a:solidFill>
                          <a:effectLst/>
                          <a:uLnTx/>
                          <a:uFillTx/>
                          <a:latin typeface="Cambria Math" panose="02040503050406030204" pitchFamily="18" charset="0"/>
                          <a:ea typeface="+mn-ea"/>
                          <a:cs typeface="+mn-cs"/>
                        </a:rPr>
                      </m:ctrlPr>
                    </m:sSubSupPr>
                    <m:e>
                      <m:r>
                        <a:rPr kumimoji="0" lang="de-DE" sz="2000" b="0" i="1" u="none" strike="noStrike" kern="1200" cap="none" spc="0" normalizeH="0" baseline="0" noProof="0">
                          <a:ln>
                            <a:noFill/>
                          </a:ln>
                          <a:solidFill>
                            <a:srgbClr val="00B050"/>
                          </a:solidFill>
                          <a:effectLst/>
                          <a:uLnTx/>
                          <a:uFillTx/>
                          <a:latin typeface="Cambria Math"/>
                          <a:ea typeface="+mn-ea"/>
                          <a:cs typeface="+mn-cs"/>
                        </a:rPr>
                        <m:t>𝑃</m:t>
                      </m:r>
                    </m:e>
                    <m:sub>
                      <m:r>
                        <a:rPr kumimoji="0" lang="de-DE" sz="2000" b="0" i="1" u="none" strike="noStrike" kern="1200" cap="none" spc="0" normalizeH="0" baseline="0" noProof="0">
                          <a:ln>
                            <a:noFill/>
                          </a:ln>
                          <a:solidFill>
                            <a:srgbClr val="00B050"/>
                          </a:solidFill>
                          <a:effectLst/>
                          <a:uLnTx/>
                          <a:uFillTx/>
                          <a:latin typeface="Cambria Math"/>
                          <a:ea typeface="+mn-ea"/>
                          <a:cs typeface="+mn-cs"/>
                        </a:rPr>
                        <m:t>𝑣</m:t>
                      </m:r>
                    </m:sub>
                    <m:sup>
                      <m:r>
                        <a:rPr kumimoji="0" lang="de-DE" sz="2000" b="0" i="1" u="none" strike="noStrike" kern="1200" cap="none" spc="0" normalizeH="0" baseline="0" noProof="0">
                          <a:ln>
                            <a:noFill/>
                          </a:ln>
                          <a:solidFill>
                            <a:srgbClr val="00B050"/>
                          </a:solidFill>
                          <a:effectLst/>
                          <a:uLnTx/>
                          <a:uFillTx/>
                          <a:latin typeface="Cambria Math"/>
                          <a:ea typeface="+mn-ea"/>
                          <a:cs typeface="+mn-cs"/>
                        </a:rPr>
                        <m:t>𝐿</m:t>
                      </m:r>
                    </m:sup>
                  </m:sSubSup>
                </m:oMath>
              </a14:m>
              <a:r>
                <a:rPr kumimoji="0" lang="de-DE" sz="2000" b="0" i="1" u="none" strike="noStrike" kern="0" cap="none" spc="0" normalizeH="0" baseline="0" noProof="0">
                  <a:ln>
                    <a:noFill/>
                  </a:ln>
                  <a:solidFill>
                    <a:sysClr val="windowText" lastClr="000000"/>
                  </a:solidFill>
                  <a:effectLst/>
                  <a:uLnTx/>
                  <a:uFillTx/>
                  <a:latin typeface="+mn-lt"/>
                  <a:ea typeface="+mn-ea"/>
                  <a:cs typeface="+mn-cs"/>
                </a:rPr>
                <a:t> = </a:t>
              </a:r>
              <a14:m>
                <m:oMath xmlns:m="http://schemas.openxmlformats.org/officeDocument/2006/math">
                  <m:sSubSup>
                    <m:sSubSupPr>
                      <m:ctrlPr>
                        <a:rPr kumimoji="0" lang="de-DE" sz="2000" b="0" i="1" u="none" strike="noStrike" kern="1200" cap="none" spc="0" normalizeH="0" baseline="0" noProof="0">
                          <a:ln>
                            <a:noFill/>
                          </a:ln>
                          <a:solidFill>
                            <a:srgbClr val="00B050"/>
                          </a:solidFill>
                          <a:effectLst/>
                          <a:uLnTx/>
                          <a:uFillTx/>
                          <a:latin typeface="Cambria Math" panose="02040503050406030204" pitchFamily="18" charset="0"/>
                          <a:ea typeface="+mn-ea"/>
                          <a:cs typeface="+mn-cs"/>
                        </a:rPr>
                      </m:ctrlPr>
                    </m:sSubSupPr>
                    <m:e>
                      <m:r>
                        <a:rPr kumimoji="0" lang="de-DE" sz="2000" b="0" i="1" u="none" strike="noStrike" kern="1200" cap="none" spc="0" normalizeH="0" baseline="0" noProof="0">
                          <a:ln>
                            <a:noFill/>
                          </a:ln>
                          <a:solidFill>
                            <a:srgbClr val="00B050"/>
                          </a:solidFill>
                          <a:effectLst/>
                          <a:uLnTx/>
                          <a:uFillTx/>
                          <a:latin typeface="Cambria Math"/>
                          <a:ea typeface="+mn-ea"/>
                          <a:cs typeface="+mn-cs"/>
                        </a:rPr>
                        <m:t>𝑃</m:t>
                      </m:r>
                    </m:e>
                    <m:sub>
                      <m:r>
                        <a:rPr kumimoji="0" lang="de-DE" sz="2000" b="0" i="1" u="none" strike="noStrike" kern="1200" cap="none" spc="0" normalizeH="0" baseline="0" noProof="0">
                          <a:ln>
                            <a:noFill/>
                          </a:ln>
                          <a:solidFill>
                            <a:srgbClr val="00B050"/>
                          </a:solidFill>
                          <a:effectLst/>
                          <a:uLnTx/>
                          <a:uFillTx/>
                          <a:latin typeface="Cambria Math"/>
                          <a:ea typeface="+mn-ea"/>
                          <a:cs typeface="+mn-cs"/>
                        </a:rPr>
                        <m:t>𝑣</m:t>
                      </m:r>
                      <m:r>
                        <a:rPr kumimoji="0" lang="de-DE" sz="2000" b="0" i="1" u="none" strike="noStrike" kern="1200" cap="none" spc="0" normalizeH="0" baseline="0" noProof="0">
                          <a:ln>
                            <a:noFill/>
                          </a:ln>
                          <a:solidFill>
                            <a:srgbClr val="00B050"/>
                          </a:solidFill>
                          <a:effectLst/>
                          <a:uLnTx/>
                          <a:uFillTx/>
                          <a:latin typeface="Cambria Math"/>
                          <a:ea typeface="+mn-ea"/>
                          <a:cs typeface="+mn-cs"/>
                        </a:rPr>
                        <m:t>,</m:t>
                      </m:r>
                      <m:r>
                        <a:rPr kumimoji="0" lang="de-DE" sz="2000" b="0" i="1" u="none" strike="noStrike" kern="1200" cap="none" spc="0" normalizeH="0" baseline="0" noProof="0">
                          <a:ln>
                            <a:noFill/>
                          </a:ln>
                          <a:solidFill>
                            <a:srgbClr val="00B050"/>
                          </a:solidFill>
                          <a:effectLst/>
                          <a:uLnTx/>
                          <a:uFillTx/>
                          <a:latin typeface="Cambria Math"/>
                          <a:ea typeface="+mn-ea"/>
                          <a:cs typeface="+mn-cs"/>
                        </a:rPr>
                        <m:t>𝑡𝐸</m:t>
                      </m:r>
                    </m:sub>
                    <m:sup>
                      <m:r>
                        <a:rPr kumimoji="0" lang="de-DE" sz="2000" b="0" i="1" u="none" strike="noStrike" kern="1200" cap="none" spc="0" normalizeH="0" baseline="0" noProof="0">
                          <a:ln>
                            <a:noFill/>
                          </a:ln>
                          <a:solidFill>
                            <a:srgbClr val="00B050"/>
                          </a:solidFill>
                          <a:effectLst/>
                          <a:uLnTx/>
                          <a:uFillTx/>
                          <a:latin typeface="Cambria Math"/>
                          <a:ea typeface="+mn-ea"/>
                          <a:cs typeface="+mn-cs"/>
                        </a:rPr>
                        <m:t>𝐿</m:t>
                      </m:r>
                    </m:sup>
                  </m:sSubSup>
                </m:oMath>
              </a14:m>
              <a:r>
                <a:rPr kumimoji="0" lang="de-DE" sz="2000" b="0" i="1" u="none" strike="noStrike" kern="0" cap="none" spc="0" normalizeH="0" baseline="0" noProof="0">
                  <a:ln>
                    <a:noFill/>
                  </a:ln>
                  <a:solidFill>
                    <a:sysClr val="windowText" lastClr="000000"/>
                  </a:solidFill>
                  <a:effectLst/>
                  <a:uLnTx/>
                  <a:uFillTx/>
                  <a:latin typeface="+mn-lt"/>
                  <a:ea typeface="+mn-ea"/>
                  <a:cs typeface="+mn-cs"/>
                </a:rPr>
                <a:t> </a:t>
              </a:r>
              <a:endParaRPr lang="de-DE" sz="1100"/>
            </a:p>
          </xdr:txBody>
        </xdr:sp>
      </mc:Choice>
      <mc:Fallback xmlns="">
        <xdr:sp macro="" textlink="">
          <xdr:nvSpPr>
            <xdr:cNvPr id="15" name="Textfeld 14"/>
            <xdr:cNvSpPr txBox="1"/>
          </xdr:nvSpPr>
          <xdr:spPr>
            <a:xfrm>
              <a:off x="3790950" y="15992475"/>
              <a:ext cx="1971675" cy="609600"/>
            </a:xfrm>
            <a:prstGeom prst="rect">
              <a:avLst/>
            </a:prstGeom>
            <a:solidFill>
              <a:srgbClr val="F0F0F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0" lang="de-DE" sz="2000" b="0" i="1" u="none" strike="noStrike" kern="0" cap="none" spc="0" normalizeH="0" baseline="0" noProof="0">
                  <a:ln>
                    <a:noFill/>
                  </a:ln>
                  <a:solidFill>
                    <a:srgbClr val="FF0000"/>
                  </a:solidFill>
                  <a:effectLst/>
                  <a:uLnTx/>
                  <a:uFillTx/>
                  <a:latin typeface="+mn-lt"/>
                  <a:ea typeface="+mn-ea"/>
                  <a:cs typeface="+mn-cs"/>
                </a:rPr>
                <a:t>a</a:t>
              </a:r>
              <a:r>
                <a:rPr kumimoji="0" lang="de-DE" sz="2000" b="0" i="1" u="none" strike="noStrike" kern="0" cap="none" spc="0" normalizeH="0" baseline="30000" noProof="0">
                  <a:ln>
                    <a:noFill/>
                  </a:ln>
                  <a:solidFill>
                    <a:srgbClr val="FF0000"/>
                  </a:solidFill>
                  <a:effectLst/>
                  <a:uLnTx/>
                  <a:uFillTx/>
                  <a:latin typeface="+mn-lt"/>
                  <a:ea typeface="+mn-ea"/>
                  <a:cs typeface="+mn-cs"/>
                </a:rPr>
                <a:t>L</a:t>
              </a:r>
              <a:r>
                <a:rPr kumimoji="0" lang="de-DE" sz="2000" b="0" i="1" u="none" strike="noStrike" kern="0" cap="none" spc="0" normalizeH="0" baseline="0" noProof="0">
                  <a:ln>
                    <a:noFill/>
                  </a:ln>
                  <a:solidFill>
                    <a:srgbClr val="FF0000"/>
                  </a:solidFill>
                  <a:effectLst/>
                  <a:uLnTx/>
                  <a:uFillTx/>
                  <a:latin typeface="+mn-lt"/>
                  <a:ea typeface="+mn-ea"/>
                  <a:cs typeface="+mn-cs"/>
                </a:rPr>
                <a:t> *</a:t>
              </a:r>
              <a:r>
                <a:rPr kumimoji="0" lang="de-DE" sz="2000" b="0" i="1" u="none" strike="noStrike" kern="0" cap="none" spc="0" normalizeH="0" baseline="0" noProof="0">
                  <a:ln>
                    <a:noFill/>
                  </a:ln>
                  <a:solidFill>
                    <a:srgbClr val="00B050"/>
                  </a:solidFill>
                  <a:effectLst/>
                  <a:uLnTx/>
                  <a:uFillTx/>
                  <a:latin typeface="+mn-lt"/>
                  <a:ea typeface="+mn-ea"/>
                  <a:cs typeface="+mn-cs"/>
                </a:rPr>
                <a:t> </a:t>
              </a:r>
              <a:r>
                <a:rPr kumimoji="0" lang="de-DE" sz="2000" b="0" i="0" u="none" strike="noStrike" kern="1200" cap="none" spc="0" normalizeH="0" baseline="0" noProof="0">
                  <a:ln>
                    <a:noFill/>
                  </a:ln>
                  <a:solidFill>
                    <a:srgbClr val="00B050"/>
                  </a:solidFill>
                  <a:effectLst/>
                  <a:uLnTx/>
                  <a:uFillTx/>
                  <a:latin typeface="Cambria Math"/>
                  <a:ea typeface="+mn-ea"/>
                  <a:cs typeface="+mn-cs"/>
                </a:rPr>
                <a:t>𝑃_𝑣^𝐿</a:t>
              </a:r>
              <a:r>
                <a:rPr kumimoji="0" lang="de-DE" sz="2000" b="0" i="1" u="none" strike="noStrike" kern="0" cap="none" spc="0" normalizeH="0" baseline="0" noProof="0">
                  <a:ln>
                    <a:noFill/>
                  </a:ln>
                  <a:solidFill>
                    <a:sysClr val="windowText" lastClr="000000"/>
                  </a:solidFill>
                  <a:effectLst/>
                  <a:uLnTx/>
                  <a:uFillTx/>
                  <a:latin typeface="+mn-lt"/>
                  <a:ea typeface="+mn-ea"/>
                  <a:cs typeface="+mn-cs"/>
                </a:rPr>
                <a:t> = </a:t>
              </a:r>
              <a:r>
                <a:rPr kumimoji="0" lang="de-DE" sz="2000" b="0" i="0" u="none" strike="noStrike" kern="1200" cap="none" spc="0" normalizeH="0" baseline="0" noProof="0">
                  <a:ln>
                    <a:noFill/>
                  </a:ln>
                  <a:solidFill>
                    <a:srgbClr val="00B050"/>
                  </a:solidFill>
                  <a:effectLst/>
                  <a:uLnTx/>
                  <a:uFillTx/>
                  <a:latin typeface="Cambria Math"/>
                  <a:ea typeface="+mn-ea"/>
                  <a:cs typeface="+mn-cs"/>
                </a:rPr>
                <a:t>𝑃_(𝑣,𝑡𝐸)^𝐿</a:t>
              </a:r>
              <a:r>
                <a:rPr kumimoji="0" lang="de-DE" sz="2000" b="0" i="1" u="none" strike="noStrike" kern="0" cap="none" spc="0" normalizeH="0" baseline="0" noProof="0">
                  <a:ln>
                    <a:noFill/>
                  </a:ln>
                  <a:solidFill>
                    <a:sysClr val="windowText" lastClr="000000"/>
                  </a:solidFill>
                  <a:effectLst/>
                  <a:uLnTx/>
                  <a:uFillTx/>
                  <a:latin typeface="+mn-lt"/>
                  <a:ea typeface="+mn-ea"/>
                  <a:cs typeface="+mn-cs"/>
                </a:rPr>
                <a:t> </a:t>
              </a:r>
              <a:endParaRPr lang="de-DE" sz="1100"/>
            </a:p>
          </xdr:txBody>
        </xdr:sp>
      </mc:Fallback>
    </mc:AlternateContent>
    <xdr:clientData/>
  </xdr:twoCellAnchor>
  <xdr:twoCellAnchor>
    <xdr:from>
      <xdr:col>11</xdr:col>
      <xdr:colOff>428625</xdr:colOff>
      <xdr:row>78</xdr:row>
      <xdr:rowOff>95250</xdr:rowOff>
    </xdr:from>
    <xdr:to>
      <xdr:col>12</xdr:col>
      <xdr:colOff>609600</xdr:colOff>
      <xdr:row>81</xdr:row>
      <xdr:rowOff>47625</xdr:rowOff>
    </xdr:to>
    <xdr:sp macro="" textlink="">
      <xdr:nvSpPr>
        <xdr:cNvPr id="16" name="Textfeld 15">
          <a:extLst>
            <a:ext uri="{FF2B5EF4-FFF2-40B4-BE49-F238E27FC236}">
              <a16:creationId xmlns:a16="http://schemas.microsoft.com/office/drawing/2014/main" id="{00000000-0008-0000-0C00-000010000000}"/>
            </a:ext>
          </a:extLst>
        </xdr:cNvPr>
        <xdr:cNvSpPr txBox="1"/>
      </xdr:nvSpPr>
      <xdr:spPr>
        <a:xfrm>
          <a:off x="8810625" y="10972800"/>
          <a:ext cx="942975" cy="438150"/>
        </a:xfrm>
        <a:prstGeom prst="rect">
          <a:avLst/>
        </a:prstGeom>
        <a:solidFill>
          <a:srgbClr val="F0F0F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de-DE" sz="2000" i="1"/>
            <a:t>P</a:t>
          </a:r>
          <a:r>
            <a:rPr lang="de-DE" sz="2000" i="1" baseline="-25000"/>
            <a:t>verm,tat</a:t>
          </a:r>
          <a:endParaRPr lang="de-DE" sz="2000" i="1" baseline="-25000">
            <a:solidFill>
              <a:schemeClr val="bg1"/>
            </a:solidFill>
          </a:endParaRPr>
        </a:p>
      </xdr:txBody>
    </xdr:sp>
    <xdr:clientData/>
  </xdr:twoCellAnchor>
  <xdr:twoCellAnchor>
    <xdr:from>
      <xdr:col>7</xdr:col>
      <xdr:colOff>219074</xdr:colOff>
      <xdr:row>78</xdr:row>
      <xdr:rowOff>66675</xdr:rowOff>
    </xdr:from>
    <xdr:to>
      <xdr:col>8</xdr:col>
      <xdr:colOff>609599</xdr:colOff>
      <xdr:row>81</xdr:row>
      <xdr:rowOff>47625</xdr:rowOff>
    </xdr:to>
    <xdr:sp macro="" textlink="">
      <xdr:nvSpPr>
        <xdr:cNvPr id="17" name="Textfeld 16">
          <a:extLst>
            <a:ext uri="{FF2B5EF4-FFF2-40B4-BE49-F238E27FC236}">
              <a16:creationId xmlns:a16="http://schemas.microsoft.com/office/drawing/2014/main" id="{00000000-0008-0000-0C00-000011000000}"/>
            </a:ext>
          </a:extLst>
        </xdr:cNvPr>
        <xdr:cNvSpPr txBox="1"/>
      </xdr:nvSpPr>
      <xdr:spPr>
        <a:xfrm>
          <a:off x="5553074" y="11839575"/>
          <a:ext cx="1152525" cy="466725"/>
        </a:xfrm>
        <a:prstGeom prst="rect">
          <a:avLst/>
        </a:prstGeom>
        <a:solidFill>
          <a:srgbClr val="F0F0F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800" i="1">
              <a:solidFill>
                <a:srgbClr val="00B050"/>
              </a:solidFill>
            </a:rPr>
            <a:t>P</a:t>
          </a:r>
          <a:r>
            <a:rPr lang="de-DE" sz="1800" i="1" baseline="-25000">
              <a:solidFill>
                <a:srgbClr val="00B050"/>
              </a:solidFill>
            </a:rPr>
            <a:t>D,tE</a:t>
          </a:r>
          <a:r>
            <a:rPr lang="de-DE" sz="1800" i="1" baseline="0">
              <a:solidFill>
                <a:srgbClr val="00B050"/>
              </a:solidFill>
            </a:rPr>
            <a:t> + P</a:t>
          </a:r>
          <a:r>
            <a:rPr lang="de-DE" sz="1800" i="1" baseline="-25000">
              <a:solidFill>
                <a:srgbClr val="00B050"/>
              </a:solidFill>
            </a:rPr>
            <a:t>R,tE</a:t>
          </a:r>
        </a:p>
      </xdr:txBody>
    </xdr:sp>
    <xdr:clientData/>
  </xdr:twoCellAnchor>
  <xdr:twoCellAnchor editAs="oneCell">
    <xdr:from>
      <xdr:col>0</xdr:col>
      <xdr:colOff>0</xdr:colOff>
      <xdr:row>4</xdr:row>
      <xdr:rowOff>152400</xdr:rowOff>
    </xdr:from>
    <xdr:to>
      <xdr:col>15</xdr:col>
      <xdr:colOff>19050</xdr:colOff>
      <xdr:row>52</xdr:row>
      <xdr:rowOff>68051</xdr:rowOff>
    </xdr:to>
    <xdr:pic>
      <xdr:nvPicPr>
        <xdr:cNvPr id="13" name="Grafik 12">
          <a:extLst>
            <a:ext uri="{FF2B5EF4-FFF2-40B4-BE49-F238E27FC236}">
              <a16:creationId xmlns:a16="http://schemas.microsoft.com/office/drawing/2014/main" id="{00000000-0008-0000-0C00-00000D000000}"/>
            </a:ext>
          </a:extLst>
        </xdr:cNvPr>
        <xdr:cNvPicPr>
          <a:picLocks noChangeAspect="1"/>
        </xdr:cNvPicPr>
      </xdr:nvPicPr>
      <xdr:blipFill>
        <a:blip xmlns:r="http://schemas.openxmlformats.org/officeDocument/2006/relationships" r:embed="rId2"/>
        <a:stretch>
          <a:fillRect/>
        </a:stretch>
      </xdr:blipFill>
      <xdr:spPr>
        <a:xfrm>
          <a:off x="0" y="600075"/>
          <a:ext cx="11449050" cy="7688051"/>
        </a:xfrm>
        <a:prstGeom prst="rect">
          <a:avLst/>
        </a:prstGeom>
      </xdr:spPr>
    </xdr:pic>
    <xdr:clientData/>
  </xdr:twoCellAnchor>
  <xdr:twoCellAnchor>
    <xdr:from>
      <xdr:col>8</xdr:col>
      <xdr:colOff>666750</xdr:colOff>
      <xdr:row>47</xdr:row>
      <xdr:rowOff>9524</xdr:rowOff>
    </xdr:from>
    <xdr:to>
      <xdr:col>12</xdr:col>
      <xdr:colOff>66675</xdr:colOff>
      <xdr:row>47</xdr:row>
      <xdr:rowOff>9524</xdr:rowOff>
    </xdr:to>
    <xdr:cxnSp macro="">
      <xdr:nvCxnSpPr>
        <xdr:cNvPr id="22" name="Gerade Verbindung 21">
          <a:extLst>
            <a:ext uri="{FF2B5EF4-FFF2-40B4-BE49-F238E27FC236}">
              <a16:creationId xmlns:a16="http://schemas.microsoft.com/office/drawing/2014/main" id="{00000000-0008-0000-0C00-000016000000}"/>
            </a:ext>
          </a:extLst>
        </xdr:cNvPr>
        <xdr:cNvCxnSpPr/>
      </xdr:nvCxnSpPr>
      <xdr:spPr>
        <a:xfrm>
          <a:off x="6762750" y="7419974"/>
          <a:ext cx="2447925" cy="0"/>
        </a:xfrm>
        <a:prstGeom prst="line">
          <a:avLst/>
        </a:prstGeom>
        <a:ln w="28575">
          <a:solidFill>
            <a:schemeClr val="tx1">
              <a:lumMod val="75000"/>
              <a:lumOff val="25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523874</xdr:colOff>
      <xdr:row>43</xdr:row>
      <xdr:rowOff>19050</xdr:rowOff>
    </xdr:from>
    <xdr:to>
      <xdr:col>8</xdr:col>
      <xdr:colOff>380999</xdr:colOff>
      <xdr:row>45</xdr:row>
      <xdr:rowOff>76200</xdr:rowOff>
    </xdr:to>
    <xdr:sp macro="" textlink="">
      <xdr:nvSpPr>
        <xdr:cNvPr id="23" name="Textfeld 22">
          <a:extLst>
            <a:ext uri="{FF2B5EF4-FFF2-40B4-BE49-F238E27FC236}">
              <a16:creationId xmlns:a16="http://schemas.microsoft.com/office/drawing/2014/main" id="{00000000-0008-0000-0C00-000017000000}"/>
            </a:ext>
          </a:extLst>
        </xdr:cNvPr>
        <xdr:cNvSpPr txBox="1"/>
      </xdr:nvSpPr>
      <xdr:spPr>
        <a:xfrm>
          <a:off x="5857874" y="6781800"/>
          <a:ext cx="619125" cy="381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800" i="1"/>
            <a:t>P</a:t>
          </a:r>
          <a:r>
            <a:rPr lang="de-DE" sz="1800" i="1" baseline="-25000"/>
            <a:t>B,tE</a:t>
          </a:r>
        </a:p>
      </xdr:txBody>
    </xdr:sp>
    <xdr:clientData/>
  </xdr:twoCellAnchor>
  <xdr:twoCellAnchor>
    <xdr:from>
      <xdr:col>3</xdr:col>
      <xdr:colOff>247651</xdr:colOff>
      <xdr:row>26</xdr:row>
      <xdr:rowOff>19050</xdr:rowOff>
    </xdr:from>
    <xdr:to>
      <xdr:col>5</xdr:col>
      <xdr:colOff>152401</xdr:colOff>
      <xdr:row>28</xdr:row>
      <xdr:rowOff>66675</xdr:rowOff>
    </xdr:to>
    <xdr:sp macro="" textlink="">
      <xdr:nvSpPr>
        <xdr:cNvPr id="24" name="Textfeld 23">
          <a:extLst>
            <a:ext uri="{FF2B5EF4-FFF2-40B4-BE49-F238E27FC236}">
              <a16:creationId xmlns:a16="http://schemas.microsoft.com/office/drawing/2014/main" id="{00000000-0008-0000-0C00-000018000000}"/>
            </a:ext>
          </a:extLst>
        </xdr:cNvPr>
        <xdr:cNvSpPr txBox="1"/>
      </xdr:nvSpPr>
      <xdr:spPr>
        <a:xfrm>
          <a:off x="2533651" y="4029075"/>
          <a:ext cx="1428750" cy="3714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800" i="1">
              <a:solidFill>
                <a:srgbClr val="FF0000"/>
              </a:solidFill>
            </a:rPr>
            <a:t>P</a:t>
          </a:r>
          <a:r>
            <a:rPr lang="de-DE" sz="1800" i="1" baseline="-25000">
              <a:solidFill>
                <a:srgbClr val="FF0000"/>
              </a:solidFill>
            </a:rPr>
            <a:t>E,tE</a:t>
          </a:r>
          <a:r>
            <a:rPr lang="de-DE" sz="1800" i="1" baseline="0">
              <a:solidFill>
                <a:srgbClr val="FF0000"/>
              </a:solidFill>
            </a:rPr>
            <a:t> - P</a:t>
          </a:r>
          <a:r>
            <a:rPr lang="de-DE" sz="1800" i="1" baseline="-25000">
              <a:solidFill>
                <a:srgbClr val="FF0000"/>
              </a:solidFill>
            </a:rPr>
            <a:t>B,tE</a:t>
          </a:r>
        </a:p>
      </xdr:txBody>
    </xdr:sp>
    <xdr:clientData/>
  </xdr:twoCellAnchor>
  <xdr:twoCellAnchor>
    <xdr:from>
      <xdr:col>7</xdr:col>
      <xdr:colOff>419101</xdr:colOff>
      <xdr:row>23</xdr:row>
      <xdr:rowOff>19050</xdr:rowOff>
    </xdr:from>
    <xdr:to>
      <xdr:col>9</xdr:col>
      <xdr:colOff>76200</xdr:colOff>
      <xdr:row>25</xdr:row>
      <xdr:rowOff>85725</xdr:rowOff>
    </xdr:to>
    <xdr:sp macro="" textlink="">
      <xdr:nvSpPr>
        <xdr:cNvPr id="25" name="Textfeld 24">
          <a:extLst>
            <a:ext uri="{FF2B5EF4-FFF2-40B4-BE49-F238E27FC236}">
              <a16:creationId xmlns:a16="http://schemas.microsoft.com/office/drawing/2014/main" id="{00000000-0008-0000-0C00-000019000000}"/>
            </a:ext>
          </a:extLst>
        </xdr:cNvPr>
        <xdr:cNvSpPr txBox="1"/>
      </xdr:nvSpPr>
      <xdr:spPr>
        <a:xfrm>
          <a:off x="5753101" y="3543300"/>
          <a:ext cx="1181099" cy="3905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800" i="1">
              <a:solidFill>
                <a:srgbClr val="00B050"/>
              </a:solidFill>
            </a:rPr>
            <a:t>P</a:t>
          </a:r>
          <a:r>
            <a:rPr lang="de-DE" sz="1800" i="1" baseline="-25000">
              <a:solidFill>
                <a:srgbClr val="00B050"/>
              </a:solidFill>
            </a:rPr>
            <a:t>D,tE</a:t>
          </a:r>
          <a:r>
            <a:rPr lang="de-DE" sz="1800" i="1">
              <a:solidFill>
                <a:srgbClr val="00B050"/>
              </a:solidFill>
            </a:rPr>
            <a:t> + P</a:t>
          </a:r>
          <a:r>
            <a:rPr lang="de-DE" sz="1800" i="1" baseline="-25000">
              <a:solidFill>
                <a:srgbClr val="00B050"/>
              </a:solidFill>
            </a:rPr>
            <a:t>R,tE</a:t>
          </a:r>
          <a:r>
            <a:rPr lang="de-DE" sz="1800" i="1" baseline="0">
              <a:solidFill>
                <a:srgbClr val="00B050"/>
              </a:solidFill>
            </a:rPr>
            <a:t>  </a:t>
          </a:r>
        </a:p>
      </xdr:txBody>
    </xdr:sp>
    <xdr:clientData/>
  </xdr:twoCellAnchor>
  <xdr:twoCellAnchor>
    <xdr:from>
      <xdr:col>11</xdr:col>
      <xdr:colOff>733424</xdr:colOff>
      <xdr:row>23</xdr:row>
      <xdr:rowOff>114299</xdr:rowOff>
    </xdr:from>
    <xdr:to>
      <xdr:col>15</xdr:col>
      <xdr:colOff>76200</xdr:colOff>
      <xdr:row>29</xdr:row>
      <xdr:rowOff>152400</xdr:rowOff>
    </xdr:to>
    <xdr:sp macro="" textlink="">
      <xdr:nvSpPr>
        <xdr:cNvPr id="26" name="Textfeld 25">
          <a:extLst>
            <a:ext uri="{FF2B5EF4-FFF2-40B4-BE49-F238E27FC236}">
              <a16:creationId xmlns:a16="http://schemas.microsoft.com/office/drawing/2014/main" id="{00000000-0008-0000-0C00-00001A000000}"/>
            </a:ext>
          </a:extLst>
        </xdr:cNvPr>
        <xdr:cNvSpPr txBox="1"/>
      </xdr:nvSpPr>
      <xdr:spPr>
        <a:xfrm>
          <a:off x="9115424" y="3638549"/>
          <a:ext cx="2390776" cy="100965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800" i="1">
              <a:solidFill>
                <a:srgbClr val="00B0F0"/>
              </a:solidFill>
            </a:rPr>
            <a:t>P</a:t>
          </a:r>
          <a:r>
            <a:rPr lang="de-DE" sz="1800" i="1" baseline="-25000">
              <a:solidFill>
                <a:srgbClr val="00B0F0"/>
              </a:solidFill>
            </a:rPr>
            <a:t>verm,tat</a:t>
          </a:r>
          <a:r>
            <a:rPr lang="de-DE" sz="1800" i="1">
              <a:solidFill>
                <a:srgbClr val="00B0F0"/>
              </a:solidFill>
            </a:rPr>
            <a:t> = P</a:t>
          </a:r>
          <a:r>
            <a:rPr lang="de-DE" sz="1800" i="1" baseline="-25000">
              <a:solidFill>
                <a:srgbClr val="00B0F0"/>
              </a:solidFill>
            </a:rPr>
            <a:t>E,max</a:t>
          </a:r>
          <a:r>
            <a:rPr lang="de-DE" sz="1800" i="1">
              <a:solidFill>
                <a:srgbClr val="00B0F0"/>
              </a:solidFill>
            </a:rPr>
            <a:t> - P</a:t>
          </a:r>
          <a:r>
            <a:rPr lang="de-DE" sz="1800" i="1" baseline="-25000">
              <a:solidFill>
                <a:srgbClr val="00B0F0"/>
              </a:solidFill>
            </a:rPr>
            <a:t>B,max</a:t>
          </a:r>
        </a:p>
        <a:p>
          <a:r>
            <a:rPr lang="de-DE" sz="1800" i="0" baseline="0">
              <a:solidFill>
                <a:srgbClr val="00B0F0"/>
              </a:solidFill>
            </a:rPr>
            <a:t>tatsächlich vermiedene Leistung</a:t>
          </a:r>
        </a:p>
      </xdr:txBody>
    </xdr:sp>
    <xdr:clientData/>
  </xdr:twoCellAnchor>
  <xdr:twoCellAnchor>
    <xdr:from>
      <xdr:col>12</xdr:col>
      <xdr:colOff>209549</xdr:colOff>
      <xdr:row>17</xdr:row>
      <xdr:rowOff>38100</xdr:rowOff>
    </xdr:from>
    <xdr:to>
      <xdr:col>13</xdr:col>
      <xdr:colOff>428624</xdr:colOff>
      <xdr:row>19</xdr:row>
      <xdr:rowOff>104775</xdr:rowOff>
    </xdr:to>
    <xdr:sp macro="" textlink="">
      <xdr:nvSpPr>
        <xdr:cNvPr id="27" name="Textfeld 26">
          <a:extLst>
            <a:ext uri="{FF2B5EF4-FFF2-40B4-BE49-F238E27FC236}">
              <a16:creationId xmlns:a16="http://schemas.microsoft.com/office/drawing/2014/main" id="{00000000-0008-0000-0C00-00001B000000}"/>
            </a:ext>
          </a:extLst>
        </xdr:cNvPr>
        <xdr:cNvSpPr txBox="1"/>
      </xdr:nvSpPr>
      <xdr:spPr>
        <a:xfrm>
          <a:off x="9353549" y="2590800"/>
          <a:ext cx="981075" cy="3905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800" i="1"/>
            <a:t>P</a:t>
          </a:r>
          <a:r>
            <a:rPr lang="de-DE" sz="1800" i="1" baseline="-25000"/>
            <a:t>E,max</a:t>
          </a:r>
        </a:p>
      </xdr:txBody>
    </xdr:sp>
    <xdr:clientData/>
  </xdr:twoCellAnchor>
  <xdr:twoCellAnchor>
    <xdr:from>
      <xdr:col>12</xdr:col>
      <xdr:colOff>628649</xdr:colOff>
      <xdr:row>31</xdr:row>
      <xdr:rowOff>142875</xdr:rowOff>
    </xdr:from>
    <xdr:to>
      <xdr:col>14</xdr:col>
      <xdr:colOff>85724</xdr:colOff>
      <xdr:row>34</xdr:row>
      <xdr:rowOff>9525</xdr:rowOff>
    </xdr:to>
    <xdr:sp macro="" textlink="">
      <xdr:nvSpPr>
        <xdr:cNvPr id="28" name="Textfeld 27">
          <a:extLst>
            <a:ext uri="{FF2B5EF4-FFF2-40B4-BE49-F238E27FC236}">
              <a16:creationId xmlns:a16="http://schemas.microsoft.com/office/drawing/2014/main" id="{00000000-0008-0000-0C00-00001C000000}"/>
            </a:ext>
          </a:extLst>
        </xdr:cNvPr>
        <xdr:cNvSpPr txBox="1"/>
      </xdr:nvSpPr>
      <xdr:spPr>
        <a:xfrm>
          <a:off x="9772649" y="4962525"/>
          <a:ext cx="981075" cy="352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800" i="1"/>
            <a:t>P</a:t>
          </a:r>
          <a:r>
            <a:rPr lang="de-DE" sz="1800" i="1" baseline="-25000"/>
            <a:t>B,max</a:t>
          </a:r>
        </a:p>
      </xdr:txBody>
    </xdr:sp>
    <xdr:clientData/>
  </xdr:twoCellAnchor>
  <xdr:twoCellAnchor>
    <xdr:from>
      <xdr:col>4</xdr:col>
      <xdr:colOff>571500</xdr:colOff>
      <xdr:row>14</xdr:row>
      <xdr:rowOff>28575</xdr:rowOff>
    </xdr:from>
    <xdr:to>
      <xdr:col>5</xdr:col>
      <xdr:colOff>190500</xdr:colOff>
      <xdr:row>15</xdr:row>
      <xdr:rowOff>114300</xdr:rowOff>
    </xdr:to>
    <xdr:sp macro="" textlink="">
      <xdr:nvSpPr>
        <xdr:cNvPr id="31" name="Textfeld 30">
          <a:extLst>
            <a:ext uri="{FF2B5EF4-FFF2-40B4-BE49-F238E27FC236}">
              <a16:creationId xmlns:a16="http://schemas.microsoft.com/office/drawing/2014/main" id="{00000000-0008-0000-0C00-00001F000000}"/>
            </a:ext>
          </a:extLst>
        </xdr:cNvPr>
        <xdr:cNvSpPr txBox="1"/>
      </xdr:nvSpPr>
      <xdr:spPr>
        <a:xfrm>
          <a:off x="3619500" y="2095500"/>
          <a:ext cx="381000" cy="247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de-DE" sz="1100"/>
        </a:p>
      </xdr:txBody>
    </xdr:sp>
    <xdr:clientData/>
  </xdr:twoCellAnchor>
  <xdr:twoCellAnchor>
    <xdr:from>
      <xdr:col>8</xdr:col>
      <xdr:colOff>95250</xdr:colOff>
      <xdr:row>5</xdr:row>
      <xdr:rowOff>85723</xdr:rowOff>
    </xdr:from>
    <xdr:to>
      <xdr:col>12</xdr:col>
      <xdr:colOff>561975</xdr:colOff>
      <xdr:row>14</xdr:row>
      <xdr:rowOff>152399</xdr:rowOff>
    </xdr:to>
    <xdr:sp macro="" textlink="">
      <xdr:nvSpPr>
        <xdr:cNvPr id="32" name="Textfeld 31">
          <a:extLst>
            <a:ext uri="{FF2B5EF4-FFF2-40B4-BE49-F238E27FC236}">
              <a16:creationId xmlns:a16="http://schemas.microsoft.com/office/drawing/2014/main" id="{00000000-0008-0000-0C00-000020000000}"/>
            </a:ext>
          </a:extLst>
        </xdr:cNvPr>
        <xdr:cNvSpPr txBox="1"/>
      </xdr:nvSpPr>
      <xdr:spPr>
        <a:xfrm>
          <a:off x="6191250" y="695323"/>
          <a:ext cx="3514725" cy="15240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de-DE" sz="1800" b="0" i="1" u="none" strike="noStrike" kern="0" cap="none" spc="0" normalizeH="0" baseline="0" noProof="0">
              <a:ln>
                <a:noFill/>
              </a:ln>
              <a:solidFill>
                <a:srgbClr val="9BBB59">
                  <a:lumMod val="75000"/>
                </a:srgbClr>
              </a:solidFill>
              <a:effectLst/>
              <a:uLnTx/>
              <a:uFillTx/>
              <a:latin typeface="+mn-lt"/>
              <a:ea typeface="+mn-ea"/>
              <a:cs typeface="+mn-cs"/>
            </a:rPr>
            <a:t>P</a:t>
          </a:r>
          <a:r>
            <a:rPr kumimoji="0" lang="de-DE" sz="1800" b="0" i="1" u="none" strike="noStrike" kern="0" cap="none" spc="0" normalizeH="0" baseline="-25000" noProof="0">
              <a:ln>
                <a:noFill/>
              </a:ln>
              <a:solidFill>
                <a:srgbClr val="9BBB59">
                  <a:lumMod val="75000"/>
                </a:srgbClr>
              </a:solidFill>
              <a:effectLst/>
              <a:uLnTx/>
              <a:uFillTx/>
              <a:latin typeface="+mn-lt"/>
              <a:ea typeface="+mn-ea"/>
              <a:cs typeface="+mn-cs"/>
            </a:rPr>
            <a:t>B</a:t>
          </a:r>
          <a:r>
            <a:rPr kumimoji="0" lang="de-DE" sz="1800" b="0" i="1" u="none" strike="noStrike" kern="0" cap="none" spc="0" normalizeH="0" baseline="0" noProof="0">
              <a:ln>
                <a:noFill/>
              </a:ln>
              <a:solidFill>
                <a:srgbClr val="9BBB59">
                  <a:lumMod val="75000"/>
                </a:srgbClr>
              </a:solidFill>
              <a:effectLst/>
              <a:uLnTx/>
              <a:uFillTx/>
              <a:latin typeface="+mn-lt"/>
              <a:ea typeface="+mn-ea"/>
              <a:cs typeface="+mn-cs"/>
            </a:rPr>
            <a:t> + P</a:t>
          </a:r>
          <a:r>
            <a:rPr kumimoji="0" lang="de-DE" sz="1800" b="0" i="1" u="none" strike="noStrike" kern="0" cap="none" spc="0" normalizeH="0" baseline="-25000" noProof="0">
              <a:ln>
                <a:noFill/>
              </a:ln>
              <a:solidFill>
                <a:srgbClr val="9BBB59">
                  <a:lumMod val="75000"/>
                </a:srgbClr>
              </a:solidFill>
              <a:effectLst/>
              <a:uLnTx/>
              <a:uFillTx/>
              <a:latin typeface="+mn-lt"/>
              <a:ea typeface="+mn-ea"/>
              <a:cs typeface="+mn-cs"/>
            </a:rPr>
            <a:t>D</a:t>
          </a:r>
          <a:r>
            <a:rPr kumimoji="0" lang="de-DE" sz="1800" b="0" i="1" u="none" strike="noStrike" kern="0" cap="none" spc="0" normalizeH="0" baseline="0" noProof="0">
              <a:ln>
                <a:noFill/>
              </a:ln>
              <a:solidFill>
                <a:srgbClr val="9BBB59">
                  <a:lumMod val="75000"/>
                </a:srgbClr>
              </a:solidFill>
              <a:effectLst/>
              <a:uLnTx/>
              <a:uFillTx/>
              <a:latin typeface="+mn-lt"/>
              <a:ea typeface="+mn-ea"/>
              <a:cs typeface="+mn-cs"/>
            </a:rPr>
            <a:t> + P</a:t>
          </a:r>
          <a:r>
            <a:rPr kumimoji="0" lang="de-DE" sz="1800" b="0" i="1" u="none" strike="noStrike" kern="0" cap="none" spc="0" normalizeH="0" baseline="-25000" noProof="0">
              <a:ln>
                <a:noFill/>
              </a:ln>
              <a:solidFill>
                <a:srgbClr val="9BBB59">
                  <a:lumMod val="75000"/>
                </a:srgbClr>
              </a:solidFill>
              <a:effectLst/>
              <a:uLnTx/>
              <a:uFillTx/>
              <a:latin typeface="+mn-lt"/>
              <a:ea typeface="+mn-ea"/>
              <a:cs typeface="+mn-cs"/>
            </a:rPr>
            <a:t>R </a:t>
          </a:r>
          <a:r>
            <a:rPr kumimoji="0" lang="de-DE" sz="1800" b="0" i="1" u="none" strike="noStrike" kern="0" cap="none" spc="0" normalizeH="0" baseline="0" noProof="0">
              <a:ln>
                <a:noFill/>
              </a:ln>
              <a:solidFill>
                <a:srgbClr val="9BBB59">
                  <a:lumMod val="75000"/>
                </a:srgbClr>
              </a:solidFill>
              <a:effectLst/>
              <a:uLnTx/>
              <a:uFillTx/>
              <a:latin typeface="+mn-lt"/>
              <a:ea typeface="+mn-ea"/>
              <a:cs typeface="+mn-cs"/>
            </a:rPr>
            <a:t>= P</a:t>
          </a:r>
          <a:r>
            <a:rPr kumimoji="0" lang="de-DE" sz="1800" b="0" i="1" u="none" strike="noStrike" kern="0" cap="none" spc="0" normalizeH="0" baseline="-25000" noProof="0">
              <a:ln>
                <a:noFill/>
              </a:ln>
              <a:solidFill>
                <a:srgbClr val="9BBB59">
                  <a:lumMod val="75000"/>
                </a:srgbClr>
              </a:solidFill>
              <a:effectLst/>
              <a:uLnTx/>
              <a:uFillTx/>
              <a:latin typeface="+mn-lt"/>
              <a:ea typeface="+mn-ea"/>
              <a:cs typeface="+mn-cs"/>
            </a:rPr>
            <a:t>E</a:t>
          </a:r>
          <a:r>
            <a:rPr kumimoji="0" lang="de-DE" sz="1800" b="0" i="1" u="none" strike="noStrike" kern="0" cap="none" spc="0" normalizeH="0" baseline="0" noProof="0">
              <a:ln>
                <a:noFill/>
              </a:ln>
              <a:solidFill>
                <a:srgbClr val="9BBB59">
                  <a:lumMod val="75000"/>
                </a:srgbClr>
              </a:solidFill>
              <a:effectLst/>
              <a:uLnTx/>
              <a:uFillTx/>
              <a:latin typeface="+mn-lt"/>
              <a:ea typeface="+mn-ea"/>
              <a:cs typeface="+mn-cs"/>
            </a:rPr>
            <a:t> + P</a:t>
          </a:r>
          <a:r>
            <a:rPr kumimoji="0" lang="de-DE" sz="1800" b="0" i="1" u="none" strike="noStrike" kern="0" cap="none" spc="0" normalizeH="0" baseline="-25000" noProof="0">
              <a:ln>
                <a:noFill/>
              </a:ln>
              <a:solidFill>
                <a:srgbClr val="9BBB59">
                  <a:lumMod val="75000"/>
                </a:srgbClr>
              </a:solidFill>
              <a:effectLst/>
              <a:uLnTx/>
              <a:uFillTx/>
              <a:latin typeface="+mn-lt"/>
              <a:ea typeface="+mn-ea"/>
              <a:cs typeface="+mn-cs"/>
            </a:rPr>
            <a:t>A</a:t>
          </a:r>
        </a:p>
        <a:p>
          <a:r>
            <a:rPr lang="de-DE" sz="1800">
              <a:solidFill>
                <a:schemeClr val="accent3">
                  <a:lumMod val="75000"/>
                </a:schemeClr>
              </a:solidFill>
            </a:rPr>
            <a:t>verlustbehaftete Netzlast</a:t>
          </a:r>
          <a:r>
            <a:rPr lang="de-DE" sz="1800" baseline="0">
              <a:solidFill>
                <a:schemeClr val="accent3">
                  <a:lumMod val="75000"/>
                </a:schemeClr>
              </a:solidFill>
            </a:rPr>
            <a:t> der Spannungsebene aus </a:t>
          </a:r>
          <a:r>
            <a:rPr lang="de-DE" sz="1800">
              <a:solidFill>
                <a:schemeClr val="accent3">
                  <a:lumMod val="75000"/>
                </a:schemeClr>
              </a:solidFill>
            </a:rPr>
            <a:t>Bezug,</a:t>
          </a:r>
          <a:r>
            <a:rPr lang="de-DE" sz="1800" baseline="0">
              <a:solidFill>
                <a:schemeClr val="accent3">
                  <a:lumMod val="75000"/>
                </a:schemeClr>
              </a:solidFill>
            </a:rPr>
            <a:t> </a:t>
          </a:r>
          <a:r>
            <a:rPr lang="de-DE" sz="1800">
              <a:solidFill>
                <a:schemeClr val="accent3">
                  <a:lumMod val="75000"/>
                </a:schemeClr>
              </a:solidFill>
            </a:rPr>
            <a:t>Einspeisung und Rückspeisung bzw.</a:t>
          </a:r>
        </a:p>
        <a:p>
          <a:r>
            <a:rPr lang="de-DE" sz="1800">
              <a:solidFill>
                <a:schemeClr val="accent3">
                  <a:lumMod val="75000"/>
                </a:schemeClr>
              </a:solidFill>
            </a:rPr>
            <a:t>Entnahme und Überspeisung</a:t>
          </a:r>
        </a:p>
      </xdr:txBody>
    </xdr:sp>
    <xdr:clientData/>
  </xdr:twoCellAnchor>
  <xdr:twoCellAnchor>
    <xdr:from>
      <xdr:col>0</xdr:col>
      <xdr:colOff>638175</xdr:colOff>
      <xdr:row>6</xdr:row>
      <xdr:rowOff>66675</xdr:rowOff>
    </xdr:from>
    <xdr:to>
      <xdr:col>5</xdr:col>
      <xdr:colOff>723900</xdr:colOff>
      <xdr:row>12</xdr:row>
      <xdr:rowOff>76200</xdr:rowOff>
    </xdr:to>
    <xdr:sp macro="" textlink="">
      <xdr:nvSpPr>
        <xdr:cNvPr id="33" name="Textfeld 32">
          <a:extLst>
            <a:ext uri="{FF2B5EF4-FFF2-40B4-BE49-F238E27FC236}">
              <a16:creationId xmlns:a16="http://schemas.microsoft.com/office/drawing/2014/main" id="{00000000-0008-0000-0C00-000021000000}"/>
            </a:ext>
          </a:extLst>
        </xdr:cNvPr>
        <xdr:cNvSpPr txBox="1"/>
      </xdr:nvSpPr>
      <xdr:spPr>
        <a:xfrm>
          <a:off x="638175" y="838200"/>
          <a:ext cx="3895725" cy="981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800" i="1">
              <a:solidFill>
                <a:schemeClr val="accent5">
                  <a:lumMod val="50000"/>
                </a:schemeClr>
              </a:solidFill>
            </a:rPr>
            <a:t>P</a:t>
          </a:r>
          <a:r>
            <a:rPr lang="de-DE" sz="1800" i="1" baseline="-25000">
              <a:solidFill>
                <a:schemeClr val="accent5">
                  <a:lumMod val="50000"/>
                </a:schemeClr>
              </a:solidFill>
            </a:rPr>
            <a:t>E</a:t>
          </a:r>
        </a:p>
        <a:p>
          <a:r>
            <a:rPr lang="de-DE" sz="1800">
              <a:solidFill>
                <a:schemeClr val="accent5">
                  <a:lumMod val="50000"/>
                </a:schemeClr>
              </a:solidFill>
            </a:rPr>
            <a:t>verlustbehaftete Entnahmelast der Spannungsebene (ohne Überspeisung)</a:t>
          </a:r>
        </a:p>
      </xdr:txBody>
    </xdr:sp>
    <xdr:clientData/>
  </xdr:twoCellAnchor>
  <xdr:twoCellAnchor>
    <xdr:from>
      <xdr:col>9</xdr:col>
      <xdr:colOff>447675</xdr:colOff>
      <xdr:row>39</xdr:row>
      <xdr:rowOff>123825</xdr:rowOff>
    </xdr:from>
    <xdr:to>
      <xdr:col>10</xdr:col>
      <xdr:colOff>485775</xdr:colOff>
      <xdr:row>42</xdr:row>
      <xdr:rowOff>28575</xdr:rowOff>
    </xdr:to>
    <xdr:sp macro="" textlink="">
      <xdr:nvSpPr>
        <xdr:cNvPr id="34" name="Textfeld 33">
          <a:extLst>
            <a:ext uri="{FF2B5EF4-FFF2-40B4-BE49-F238E27FC236}">
              <a16:creationId xmlns:a16="http://schemas.microsoft.com/office/drawing/2014/main" id="{00000000-0008-0000-0C00-000022000000}"/>
            </a:ext>
          </a:extLst>
        </xdr:cNvPr>
        <xdr:cNvSpPr txBox="1"/>
      </xdr:nvSpPr>
      <xdr:spPr>
        <a:xfrm>
          <a:off x="7305675" y="6238875"/>
          <a:ext cx="800100" cy="3905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800" i="1">
              <a:solidFill>
                <a:srgbClr val="FFC000"/>
              </a:solidFill>
            </a:rPr>
            <a:t>P</a:t>
          </a:r>
          <a:r>
            <a:rPr lang="de-DE" sz="1800" i="1" baseline="-25000">
              <a:solidFill>
                <a:srgbClr val="FFC000"/>
              </a:solidFill>
            </a:rPr>
            <a:t>B</a:t>
          </a:r>
        </a:p>
      </xdr:txBody>
    </xdr:sp>
    <xdr:clientData/>
  </xdr:twoCellAnchor>
  <xdr:twoCellAnchor>
    <xdr:from>
      <xdr:col>12</xdr:col>
      <xdr:colOff>228599</xdr:colOff>
      <xdr:row>13</xdr:row>
      <xdr:rowOff>114300</xdr:rowOff>
    </xdr:from>
    <xdr:to>
      <xdr:col>16</xdr:col>
      <xdr:colOff>323850</xdr:colOff>
      <xdr:row>16</xdr:row>
      <xdr:rowOff>38100</xdr:rowOff>
    </xdr:to>
    <xdr:sp macro="" textlink="">
      <xdr:nvSpPr>
        <xdr:cNvPr id="35" name="Textfeld 34">
          <a:extLst>
            <a:ext uri="{FF2B5EF4-FFF2-40B4-BE49-F238E27FC236}">
              <a16:creationId xmlns:a16="http://schemas.microsoft.com/office/drawing/2014/main" id="{00000000-0008-0000-0C00-000023000000}"/>
            </a:ext>
          </a:extLst>
        </xdr:cNvPr>
        <xdr:cNvSpPr txBox="1"/>
      </xdr:nvSpPr>
      <xdr:spPr>
        <a:xfrm>
          <a:off x="9372599" y="2019300"/>
          <a:ext cx="3143251" cy="4095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de-DE" sz="1800" b="0" i="1" u="none" strike="noStrike" kern="0" cap="none" spc="0" normalizeH="0" baseline="0" noProof="0">
              <a:ln>
                <a:noFill/>
              </a:ln>
              <a:solidFill>
                <a:sysClr val="windowText" lastClr="000000"/>
              </a:solidFill>
              <a:effectLst/>
              <a:uLnTx/>
              <a:uFillTx/>
              <a:latin typeface="+mn-lt"/>
              <a:ea typeface="+mn-ea"/>
              <a:cs typeface="+mn-cs"/>
            </a:rPr>
            <a:t>P</a:t>
          </a:r>
          <a:r>
            <a:rPr kumimoji="0" lang="de-DE" sz="1800" b="0" i="1" u="none" strike="noStrike" kern="0" cap="none" spc="0" normalizeH="0" baseline="-25000" noProof="0">
              <a:ln>
                <a:noFill/>
              </a:ln>
              <a:solidFill>
                <a:sysClr val="windowText" lastClr="000000"/>
              </a:solidFill>
              <a:effectLst/>
              <a:uLnTx/>
              <a:uFillTx/>
              <a:latin typeface="+mn-lt"/>
              <a:ea typeface="+mn-ea"/>
              <a:cs typeface="+mn-cs"/>
            </a:rPr>
            <a:t>B,tE</a:t>
          </a:r>
          <a:r>
            <a:rPr kumimoji="0" lang="de-DE" sz="1800" b="0" i="1" u="none" strike="noStrike" kern="0" cap="none" spc="0" normalizeH="0" baseline="0" noProof="0">
              <a:ln>
                <a:noFill/>
              </a:ln>
              <a:solidFill>
                <a:sysClr val="windowText" lastClr="000000"/>
              </a:solidFill>
              <a:effectLst/>
              <a:uLnTx/>
              <a:uFillTx/>
              <a:latin typeface="+mn-lt"/>
              <a:ea typeface="+mn-ea"/>
              <a:cs typeface="+mn-cs"/>
            </a:rPr>
            <a:t> + P</a:t>
          </a:r>
          <a:r>
            <a:rPr kumimoji="0" lang="de-DE" sz="1800" b="0" i="1" u="none" strike="noStrike" kern="0" cap="none" spc="0" normalizeH="0" baseline="-25000" noProof="0">
              <a:ln>
                <a:noFill/>
              </a:ln>
              <a:solidFill>
                <a:sysClr val="windowText" lastClr="000000"/>
              </a:solidFill>
              <a:effectLst/>
              <a:uLnTx/>
              <a:uFillTx/>
              <a:latin typeface="+mn-lt"/>
              <a:ea typeface="+mn-ea"/>
              <a:cs typeface="+mn-cs"/>
            </a:rPr>
            <a:t>D,tE</a:t>
          </a:r>
          <a:r>
            <a:rPr kumimoji="0" lang="de-DE" sz="1800" b="0" i="1" u="none" strike="noStrike" kern="0" cap="none" spc="0" normalizeH="0" baseline="0" noProof="0">
              <a:ln>
                <a:noFill/>
              </a:ln>
              <a:solidFill>
                <a:sysClr val="windowText" lastClr="000000"/>
              </a:solidFill>
              <a:effectLst/>
              <a:uLnTx/>
              <a:uFillTx/>
              <a:latin typeface="+mn-lt"/>
              <a:ea typeface="+mn-ea"/>
              <a:cs typeface="+mn-cs"/>
            </a:rPr>
            <a:t> + P</a:t>
          </a:r>
          <a:r>
            <a:rPr kumimoji="0" lang="de-DE" sz="1800" b="0" i="1" u="none" strike="noStrike" kern="0" cap="none" spc="0" normalizeH="0" baseline="-25000" noProof="0">
              <a:ln>
                <a:noFill/>
              </a:ln>
              <a:solidFill>
                <a:sysClr val="windowText" lastClr="000000"/>
              </a:solidFill>
              <a:effectLst/>
              <a:uLnTx/>
              <a:uFillTx/>
              <a:latin typeface="+mn-lt"/>
              <a:ea typeface="+mn-ea"/>
              <a:cs typeface="+mn-cs"/>
            </a:rPr>
            <a:t>R,tE </a:t>
          </a:r>
          <a:r>
            <a:rPr kumimoji="0" lang="de-DE" sz="1800" b="0" i="1" u="none" strike="noStrike" kern="0" cap="none" spc="0" normalizeH="0" baseline="0" noProof="0">
              <a:ln>
                <a:noFill/>
              </a:ln>
              <a:solidFill>
                <a:sysClr val="windowText" lastClr="000000"/>
              </a:solidFill>
              <a:effectLst/>
              <a:uLnTx/>
              <a:uFillTx/>
              <a:latin typeface="+mn-lt"/>
              <a:ea typeface="+mn-ea"/>
              <a:cs typeface="+mn-cs"/>
            </a:rPr>
            <a:t>= P</a:t>
          </a:r>
          <a:r>
            <a:rPr kumimoji="0" lang="de-DE" sz="1800" b="0" i="1" u="none" strike="noStrike" kern="0" cap="none" spc="0" normalizeH="0" baseline="-25000" noProof="0">
              <a:ln>
                <a:noFill/>
              </a:ln>
              <a:solidFill>
                <a:sysClr val="windowText" lastClr="000000"/>
              </a:solidFill>
              <a:effectLst/>
              <a:uLnTx/>
              <a:uFillTx/>
              <a:latin typeface="+mn-lt"/>
              <a:ea typeface="+mn-ea"/>
              <a:cs typeface="+mn-cs"/>
            </a:rPr>
            <a:t>E,max</a:t>
          </a:r>
          <a:r>
            <a:rPr kumimoji="0" lang="de-DE" sz="1800" b="0" i="1" u="none" strike="noStrike" kern="0" cap="none" spc="0" normalizeH="0" baseline="0" noProof="0">
              <a:ln>
                <a:noFill/>
              </a:ln>
              <a:solidFill>
                <a:sysClr val="windowText" lastClr="000000"/>
              </a:solidFill>
              <a:effectLst/>
              <a:uLnTx/>
              <a:uFillTx/>
              <a:latin typeface="+mn-lt"/>
              <a:ea typeface="+mn-ea"/>
              <a:cs typeface="+mn-cs"/>
            </a:rPr>
            <a:t> + P</a:t>
          </a:r>
          <a:r>
            <a:rPr kumimoji="0" lang="de-DE" sz="1800" b="0" i="1" u="none" strike="noStrike" kern="0" cap="none" spc="0" normalizeH="0" baseline="-25000" noProof="0">
              <a:ln>
                <a:noFill/>
              </a:ln>
              <a:solidFill>
                <a:sysClr val="windowText" lastClr="000000"/>
              </a:solidFill>
              <a:effectLst/>
              <a:uLnTx/>
              <a:uFillTx/>
              <a:latin typeface="+mn-lt"/>
              <a:ea typeface="+mn-ea"/>
              <a:cs typeface="+mn-cs"/>
            </a:rPr>
            <a:t>A,tE</a:t>
          </a:r>
        </a:p>
        <a:p>
          <a:endParaRPr lang="de-DE" sz="1100"/>
        </a:p>
      </xdr:txBody>
    </xdr:sp>
    <xdr:clientData/>
  </xdr:twoCellAnchor>
  <xdr:twoCellAnchor>
    <xdr:from>
      <xdr:col>7</xdr:col>
      <xdr:colOff>428625</xdr:colOff>
      <xdr:row>25</xdr:row>
      <xdr:rowOff>47625</xdr:rowOff>
    </xdr:from>
    <xdr:to>
      <xdr:col>10</xdr:col>
      <xdr:colOff>276225</xdr:colOff>
      <xdr:row>27</xdr:row>
      <xdr:rowOff>76199</xdr:rowOff>
    </xdr:to>
    <xdr:sp macro="" textlink="">
      <xdr:nvSpPr>
        <xdr:cNvPr id="2" name="Textfeld 1">
          <a:extLst>
            <a:ext uri="{FF2B5EF4-FFF2-40B4-BE49-F238E27FC236}">
              <a16:creationId xmlns:a16="http://schemas.microsoft.com/office/drawing/2014/main" id="{00000000-0008-0000-0C00-000002000000}"/>
            </a:ext>
          </a:extLst>
        </xdr:cNvPr>
        <xdr:cNvSpPr txBox="1"/>
      </xdr:nvSpPr>
      <xdr:spPr>
        <a:xfrm>
          <a:off x="5762625" y="3895725"/>
          <a:ext cx="2133600" cy="352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de-DE" sz="1800" b="0" i="1" u="none" strike="noStrike" kern="0" cap="none" spc="0" normalizeH="0" baseline="0" noProof="0">
              <a:ln>
                <a:noFill/>
              </a:ln>
              <a:solidFill>
                <a:srgbClr val="00B050"/>
              </a:solidFill>
              <a:effectLst/>
              <a:uLnTx/>
              <a:uFillTx/>
              <a:latin typeface="+mn-lt"/>
              <a:ea typeface="+mn-ea"/>
              <a:cs typeface="+mn-cs"/>
            </a:rPr>
            <a:t>= </a:t>
          </a:r>
          <a:r>
            <a:rPr kumimoji="0" lang="de-DE" sz="2000" b="0" i="1" u="none" strike="noStrike" kern="0" cap="none" spc="0" normalizeH="0" baseline="0" noProof="0">
              <a:ln>
                <a:noFill/>
              </a:ln>
              <a:solidFill>
                <a:srgbClr val="00B050"/>
              </a:solidFill>
              <a:effectLst/>
              <a:uLnTx/>
              <a:uFillTx/>
              <a:latin typeface="+mn-lt"/>
              <a:ea typeface="+mn-ea"/>
              <a:cs typeface="+mn-cs"/>
            </a:rPr>
            <a:t>P</a:t>
          </a:r>
          <a:r>
            <a:rPr kumimoji="0" lang="de-DE" sz="2000" b="0" i="1" u="none" strike="noStrike" kern="0" cap="none" spc="0" normalizeH="0" baseline="-25000" noProof="0">
              <a:ln>
                <a:noFill/>
              </a:ln>
              <a:solidFill>
                <a:srgbClr val="00B050"/>
              </a:solidFill>
              <a:effectLst/>
              <a:uLnTx/>
              <a:uFillTx/>
              <a:latin typeface="+mn-lt"/>
              <a:ea typeface="+mn-ea"/>
              <a:cs typeface="+mn-cs"/>
            </a:rPr>
            <a:t>E,tE</a:t>
          </a:r>
          <a:r>
            <a:rPr kumimoji="0" lang="de-DE" sz="2000" b="0" i="1" u="none" strike="noStrike" kern="0" cap="none" spc="0" normalizeH="0" baseline="0" noProof="0">
              <a:ln>
                <a:noFill/>
              </a:ln>
              <a:solidFill>
                <a:srgbClr val="00B050"/>
              </a:solidFill>
              <a:effectLst/>
              <a:uLnTx/>
              <a:uFillTx/>
              <a:latin typeface="+mn-lt"/>
              <a:ea typeface="+mn-ea"/>
              <a:cs typeface="+mn-cs"/>
            </a:rPr>
            <a:t> </a:t>
          </a:r>
          <a:r>
            <a:rPr kumimoji="0" lang="de-DE" sz="2000" b="0" i="0" u="none" strike="noStrike" kern="0" cap="none" spc="0" normalizeH="0" baseline="0" noProof="0">
              <a:ln>
                <a:noFill/>
              </a:ln>
              <a:solidFill>
                <a:srgbClr val="00B050"/>
              </a:solidFill>
              <a:effectLst/>
              <a:uLnTx/>
              <a:uFillTx/>
              <a:latin typeface="+mn-lt"/>
              <a:ea typeface="+mn-ea"/>
              <a:cs typeface="+mn-cs"/>
            </a:rPr>
            <a:t>+ </a:t>
          </a:r>
          <a:r>
            <a:rPr kumimoji="0" lang="de-DE" sz="2000" b="0" i="1" u="none" strike="noStrike" kern="0" cap="none" spc="0" normalizeH="0" baseline="0" noProof="0">
              <a:ln>
                <a:noFill/>
              </a:ln>
              <a:solidFill>
                <a:srgbClr val="00B050"/>
              </a:solidFill>
              <a:effectLst/>
              <a:uLnTx/>
              <a:uFillTx/>
              <a:latin typeface="+mn-lt"/>
              <a:ea typeface="+mn-ea"/>
              <a:cs typeface="+mn-cs"/>
            </a:rPr>
            <a:t>P</a:t>
          </a:r>
          <a:r>
            <a:rPr kumimoji="0" lang="de-DE" sz="2000" b="0" i="1" u="none" strike="noStrike" kern="0" cap="none" spc="0" normalizeH="0" baseline="-25000" noProof="0">
              <a:ln>
                <a:noFill/>
              </a:ln>
              <a:solidFill>
                <a:srgbClr val="00B050"/>
              </a:solidFill>
              <a:effectLst/>
              <a:uLnTx/>
              <a:uFillTx/>
              <a:latin typeface="+mn-lt"/>
              <a:ea typeface="+mn-ea"/>
              <a:cs typeface="+mn-cs"/>
            </a:rPr>
            <a:t>A,tE</a:t>
          </a:r>
          <a:r>
            <a:rPr kumimoji="0" lang="de-DE" sz="2000" b="0" i="0" u="none" strike="noStrike" kern="0" cap="none" spc="0" normalizeH="0" baseline="0" noProof="0">
              <a:ln>
                <a:noFill/>
              </a:ln>
              <a:solidFill>
                <a:srgbClr val="00B050"/>
              </a:solidFill>
              <a:effectLst/>
              <a:uLnTx/>
              <a:uFillTx/>
              <a:latin typeface="+mn-lt"/>
              <a:ea typeface="+mn-ea"/>
              <a:cs typeface="+mn-cs"/>
            </a:rPr>
            <a:t> </a:t>
          </a:r>
          <a:r>
            <a:rPr kumimoji="0" lang="de-DE" sz="2000" b="0" i="1" u="none" strike="noStrike" kern="0" cap="none" spc="0" normalizeH="0" baseline="0" noProof="0">
              <a:ln>
                <a:noFill/>
              </a:ln>
              <a:solidFill>
                <a:srgbClr val="00B050"/>
              </a:solidFill>
              <a:effectLst/>
              <a:uLnTx/>
              <a:uFillTx/>
              <a:latin typeface="+mn-lt"/>
              <a:ea typeface="+mn-ea"/>
              <a:cs typeface="+mn-cs"/>
            </a:rPr>
            <a:t>– P</a:t>
          </a:r>
          <a:r>
            <a:rPr kumimoji="0" lang="de-DE" sz="2000" b="0" i="1" u="none" strike="noStrike" kern="0" cap="none" spc="0" normalizeH="0" baseline="-25000" noProof="0">
              <a:ln>
                <a:noFill/>
              </a:ln>
              <a:solidFill>
                <a:srgbClr val="00B050"/>
              </a:solidFill>
              <a:effectLst/>
              <a:uLnTx/>
              <a:uFillTx/>
              <a:latin typeface="+mn-lt"/>
              <a:ea typeface="+mn-ea"/>
              <a:cs typeface="+mn-cs"/>
            </a:rPr>
            <a:t>B,tE </a:t>
          </a:r>
          <a:r>
            <a:rPr kumimoji="0" lang="de-DE" sz="2000" b="0" i="0" u="none" strike="noStrike" kern="0" cap="none" spc="0" normalizeH="0" baseline="0" noProof="0">
              <a:ln>
                <a:noFill/>
              </a:ln>
              <a:solidFill>
                <a:srgbClr val="00B050"/>
              </a:solidFill>
              <a:effectLst/>
              <a:uLnTx/>
              <a:uFillTx/>
              <a:latin typeface="+mn-lt"/>
              <a:ea typeface="+mn-ea"/>
              <a:cs typeface="+mn-cs"/>
            </a:rPr>
            <a:t> </a:t>
          </a:r>
          <a:endParaRPr kumimoji="0" lang="de-DE" sz="1800" b="0" i="1" u="none" strike="noStrike" kern="0" cap="none" spc="0" normalizeH="0" baseline="-25000" noProof="0">
            <a:ln>
              <a:noFill/>
            </a:ln>
            <a:solidFill>
              <a:srgbClr val="00B050"/>
            </a:solidFill>
            <a:effectLst/>
            <a:uLnTx/>
            <a:uFillTx/>
            <a:latin typeface="+mn-lt"/>
            <a:ea typeface="+mn-ea"/>
            <a:cs typeface="+mn-cs"/>
          </a:endParaRPr>
        </a:p>
        <a:p>
          <a:endParaRPr lang="de-DE" sz="1100"/>
        </a:p>
      </xdr:txBody>
    </xdr:sp>
    <xdr:clientData/>
  </xdr:twoCellAnchor>
  <xdr:twoCellAnchor>
    <xdr:from>
      <xdr:col>10</xdr:col>
      <xdr:colOff>85725</xdr:colOff>
      <xdr:row>25</xdr:row>
      <xdr:rowOff>28575</xdr:rowOff>
    </xdr:from>
    <xdr:to>
      <xdr:col>10</xdr:col>
      <xdr:colOff>304800</xdr:colOff>
      <xdr:row>26</xdr:row>
      <xdr:rowOff>4763</xdr:rowOff>
    </xdr:to>
    <xdr:sp macro="" textlink="">
      <xdr:nvSpPr>
        <xdr:cNvPr id="14" name="Freihandform 13">
          <a:extLst>
            <a:ext uri="{FF2B5EF4-FFF2-40B4-BE49-F238E27FC236}">
              <a16:creationId xmlns:a16="http://schemas.microsoft.com/office/drawing/2014/main" id="{00000000-0008-0000-0C00-00000E000000}"/>
            </a:ext>
          </a:extLst>
        </xdr:cNvPr>
        <xdr:cNvSpPr/>
      </xdr:nvSpPr>
      <xdr:spPr>
        <a:xfrm>
          <a:off x="7705725" y="3876675"/>
          <a:ext cx="219075" cy="138113"/>
        </a:xfrm>
        <a:custGeom>
          <a:avLst/>
          <a:gdLst>
            <a:gd name="connsiteX0" fmla="*/ 0 w 219075"/>
            <a:gd name="connsiteY0" fmla="*/ 0 h 138113"/>
            <a:gd name="connsiteX1" fmla="*/ 219075 w 219075"/>
            <a:gd name="connsiteY1" fmla="*/ 138113 h 138113"/>
          </a:gdLst>
          <a:ahLst/>
          <a:cxnLst>
            <a:cxn ang="0">
              <a:pos x="connsiteX0" y="connsiteY0"/>
            </a:cxn>
            <a:cxn ang="0">
              <a:pos x="connsiteX1" y="connsiteY1"/>
            </a:cxn>
          </a:cxnLst>
          <a:rect l="l" t="t" r="r" b="b"/>
          <a:pathLst>
            <a:path w="219075" h="138113">
              <a:moveTo>
                <a:pt x="0" y="0"/>
              </a:moveTo>
              <a:lnTo>
                <a:pt x="219075" y="138113"/>
              </a:lnTo>
            </a:path>
          </a:pathLst>
        </a:custGeom>
        <a:noFill/>
        <a:ln w="47625" cap="rn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12</xdr:col>
      <xdr:colOff>428625</xdr:colOff>
      <xdr:row>6</xdr:row>
      <xdr:rowOff>38100</xdr:rowOff>
    </xdr:from>
    <xdr:to>
      <xdr:col>16</xdr:col>
      <xdr:colOff>428625</xdr:colOff>
      <xdr:row>12</xdr:row>
      <xdr:rowOff>152400</xdr:rowOff>
    </xdr:to>
    <xdr:sp macro="" textlink="">
      <xdr:nvSpPr>
        <xdr:cNvPr id="30" name="Textfeld 29">
          <a:extLst>
            <a:ext uri="{FF2B5EF4-FFF2-40B4-BE49-F238E27FC236}">
              <a16:creationId xmlns:a16="http://schemas.microsoft.com/office/drawing/2014/main" id="{00000000-0008-0000-0C00-00001E000000}"/>
            </a:ext>
          </a:extLst>
        </xdr:cNvPr>
        <xdr:cNvSpPr txBox="1"/>
      </xdr:nvSpPr>
      <xdr:spPr>
        <a:xfrm>
          <a:off x="9572625" y="809625"/>
          <a:ext cx="3048000" cy="1085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r" defTabSz="914400" eaLnBrk="1" fontAlgn="auto" latinLnBrk="0" hangingPunct="1">
            <a:lnSpc>
              <a:spcPct val="100000"/>
            </a:lnSpc>
            <a:spcBef>
              <a:spcPts val="0"/>
            </a:spcBef>
            <a:spcAft>
              <a:spcPts val="0"/>
            </a:spcAft>
            <a:buClrTx/>
            <a:buSzTx/>
            <a:buFontTx/>
            <a:buNone/>
            <a:tabLst/>
            <a:defRPr/>
          </a:pPr>
          <a:r>
            <a:rPr kumimoji="0" lang="de-DE" sz="1800" b="0" i="1" u="none" strike="noStrike" kern="0" cap="none" spc="0" normalizeH="0" baseline="0" noProof="0">
              <a:ln>
                <a:noFill/>
              </a:ln>
              <a:solidFill>
                <a:srgbClr val="7030A0"/>
              </a:solidFill>
              <a:effectLst/>
              <a:uLnTx/>
              <a:uFillTx/>
              <a:latin typeface="+mn-lt"/>
              <a:ea typeface="+mn-ea"/>
              <a:cs typeface="+mn-cs"/>
            </a:rPr>
            <a:t>P</a:t>
          </a:r>
          <a:r>
            <a:rPr kumimoji="0" lang="de-DE" sz="1800" b="0" i="1" u="none" strike="noStrike" kern="0" cap="none" spc="0" normalizeH="0" baseline="-25000" noProof="0">
              <a:ln>
                <a:noFill/>
              </a:ln>
              <a:solidFill>
                <a:srgbClr val="7030A0"/>
              </a:solidFill>
              <a:effectLst/>
              <a:uLnTx/>
              <a:uFillTx/>
              <a:latin typeface="+mn-lt"/>
              <a:ea typeface="+mn-ea"/>
              <a:cs typeface="+mn-cs"/>
            </a:rPr>
            <a:t>A,tE</a:t>
          </a:r>
          <a:r>
            <a:rPr kumimoji="0" lang="de-DE" sz="1800" b="0" i="1" u="none" strike="noStrike" kern="0" cap="none" spc="0" normalizeH="0" baseline="-25000" noProof="0">
              <a:ln>
                <a:noFill/>
              </a:ln>
              <a:solidFill>
                <a:sysClr val="windowText" lastClr="000000"/>
              </a:solidFill>
              <a:effectLst/>
              <a:uLnTx/>
              <a:uFillTx/>
              <a:latin typeface="+mn-lt"/>
              <a:ea typeface="+mn-ea"/>
              <a:cs typeface="+mn-cs"/>
            </a:rPr>
            <a:t>  </a:t>
          </a:r>
          <a:r>
            <a:rPr kumimoji="0" lang="de-DE" sz="1800" b="0" i="0" u="none" strike="noStrike" kern="0" cap="none" spc="0" normalizeH="0" baseline="0" noProof="0">
              <a:ln>
                <a:noFill/>
              </a:ln>
              <a:solidFill>
                <a:srgbClr val="7030A0"/>
              </a:solidFill>
              <a:effectLst/>
              <a:uLnTx/>
              <a:uFillTx/>
              <a:latin typeface="+mn-lt"/>
              <a:ea typeface="+mn-ea"/>
              <a:cs typeface="Arial" panose="020B0604020202020204" pitchFamily="34" charset="0"/>
            </a:rPr>
            <a:t>Überspeiseleistung</a:t>
          </a:r>
          <a:r>
            <a:rPr kumimoji="0" lang="de-DE" sz="1800" b="0" i="0" u="none" strike="noStrike" kern="0" cap="none" spc="0" normalizeH="0" baseline="0" noProof="0">
              <a:ln>
                <a:noFill/>
              </a:ln>
              <a:solidFill>
                <a:srgbClr val="7030A0"/>
              </a:solidFill>
              <a:effectLst/>
              <a:uLnTx/>
              <a:uFillTx/>
              <a:latin typeface="+mn-lt"/>
              <a:ea typeface="+mn-ea"/>
              <a:cs typeface="+mn-cs"/>
            </a:rPr>
            <a:t> zum Zeitpunkt der Entnahmehöchstlast</a:t>
          </a:r>
        </a:p>
        <a:p>
          <a:pPr algn="ctr"/>
          <a:endParaRPr lang="de-DE" sz="1100"/>
        </a:p>
      </xdr:txBody>
    </xdr:sp>
    <xdr:clientData/>
  </xdr:twoCellAnchor>
  <xdr:twoCellAnchor>
    <xdr:from>
      <xdr:col>12</xdr:col>
      <xdr:colOff>171450</xdr:colOff>
      <xdr:row>15</xdr:row>
      <xdr:rowOff>142875</xdr:rowOff>
    </xdr:from>
    <xdr:to>
      <xdr:col>14</xdr:col>
      <xdr:colOff>457200</xdr:colOff>
      <xdr:row>17</xdr:row>
      <xdr:rowOff>85725</xdr:rowOff>
    </xdr:to>
    <xdr:sp macro="" textlink="">
      <xdr:nvSpPr>
        <xdr:cNvPr id="12" name="Rechteck 11">
          <a:extLst>
            <a:ext uri="{FF2B5EF4-FFF2-40B4-BE49-F238E27FC236}">
              <a16:creationId xmlns:a16="http://schemas.microsoft.com/office/drawing/2014/main" id="{00000000-0008-0000-0C00-00000C000000}"/>
            </a:ext>
          </a:extLst>
        </xdr:cNvPr>
        <xdr:cNvSpPr/>
      </xdr:nvSpPr>
      <xdr:spPr>
        <a:xfrm>
          <a:off x="9315450" y="2371725"/>
          <a:ext cx="1809750" cy="2667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12</xdr:col>
      <xdr:colOff>161925</xdr:colOff>
      <xdr:row>7</xdr:row>
      <xdr:rowOff>142875</xdr:rowOff>
    </xdr:from>
    <xdr:to>
      <xdr:col>12</xdr:col>
      <xdr:colOff>619126</xdr:colOff>
      <xdr:row>16</xdr:row>
      <xdr:rowOff>57150</xdr:rowOff>
    </xdr:to>
    <xdr:cxnSp macro="">
      <xdr:nvCxnSpPr>
        <xdr:cNvPr id="11" name="Gerade Verbindung mit Pfeil 10">
          <a:extLst>
            <a:ext uri="{FF2B5EF4-FFF2-40B4-BE49-F238E27FC236}">
              <a16:creationId xmlns:a16="http://schemas.microsoft.com/office/drawing/2014/main" id="{00000000-0008-0000-0C00-00000B000000}"/>
            </a:ext>
          </a:extLst>
        </xdr:cNvPr>
        <xdr:cNvCxnSpPr/>
      </xdr:nvCxnSpPr>
      <xdr:spPr>
        <a:xfrm flipH="1">
          <a:off x="9305925" y="1076325"/>
          <a:ext cx="457201" cy="1371600"/>
        </a:xfrm>
        <a:prstGeom prst="straightConnector1">
          <a:avLst/>
        </a:prstGeom>
        <a:ln w="19050">
          <a:solidFill>
            <a:srgbClr val="7030A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390526</xdr:colOff>
      <xdr:row>97</xdr:row>
      <xdr:rowOff>85725</xdr:rowOff>
    </xdr:from>
    <xdr:to>
      <xdr:col>7</xdr:col>
      <xdr:colOff>638176</xdr:colOff>
      <xdr:row>105</xdr:row>
      <xdr:rowOff>47625</xdr:rowOff>
    </xdr:to>
    <xdr:sp macro="" textlink="">
      <xdr:nvSpPr>
        <xdr:cNvPr id="36" name="Textfeld 35">
          <a:extLst>
            <a:ext uri="{FF2B5EF4-FFF2-40B4-BE49-F238E27FC236}">
              <a16:creationId xmlns:a16="http://schemas.microsoft.com/office/drawing/2014/main" id="{00000000-0008-0000-0C00-000024000000}"/>
            </a:ext>
          </a:extLst>
        </xdr:cNvPr>
        <xdr:cNvSpPr txBox="1"/>
      </xdr:nvSpPr>
      <xdr:spPr>
        <a:xfrm>
          <a:off x="5724526" y="15744825"/>
          <a:ext cx="247650" cy="1257300"/>
        </a:xfrm>
        <a:prstGeom prst="rect">
          <a:avLst/>
        </a:prstGeom>
        <a:solidFill>
          <a:srgbClr val="E8E8E8"/>
        </a:solidFill>
        <a:ln w="9525" cmpd="sng">
          <a:solidFill>
            <a:srgbClr val="E8E8E8"/>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de-DE" sz="1100"/>
        </a:p>
      </xdr:txBody>
    </xdr:sp>
    <xdr:clientData/>
  </xdr:twoCellAnchor>
  <xdr:twoCellAnchor>
    <xdr:from>
      <xdr:col>0</xdr:col>
      <xdr:colOff>742950</xdr:colOff>
      <xdr:row>84</xdr:row>
      <xdr:rowOff>28575</xdr:rowOff>
    </xdr:from>
    <xdr:to>
      <xdr:col>3</xdr:col>
      <xdr:colOff>590550</xdr:colOff>
      <xdr:row>108</xdr:row>
      <xdr:rowOff>66675</xdr:rowOff>
    </xdr:to>
    <xdr:sp macro="" textlink="">
      <xdr:nvSpPr>
        <xdr:cNvPr id="42" name="Textfeld 41">
          <a:extLst>
            <a:ext uri="{FF2B5EF4-FFF2-40B4-BE49-F238E27FC236}">
              <a16:creationId xmlns:a16="http://schemas.microsoft.com/office/drawing/2014/main" id="{00000000-0008-0000-0C00-00002A000000}"/>
            </a:ext>
          </a:extLst>
        </xdr:cNvPr>
        <xdr:cNvSpPr txBox="1"/>
      </xdr:nvSpPr>
      <xdr:spPr>
        <a:xfrm>
          <a:off x="742950" y="13582650"/>
          <a:ext cx="2133600" cy="3924300"/>
        </a:xfrm>
        <a:prstGeom prst="rect">
          <a:avLst/>
        </a:prstGeom>
        <a:solidFill>
          <a:srgbClr val="F2F2F2"/>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de-DE" sz="1100"/>
        </a:p>
      </xdr:txBody>
    </xdr:sp>
    <xdr:clientData/>
  </xdr:twoCellAnchor>
  <xdr:twoCellAnchor>
    <xdr:from>
      <xdr:col>0</xdr:col>
      <xdr:colOff>171450</xdr:colOff>
      <xdr:row>83</xdr:row>
      <xdr:rowOff>38100</xdr:rowOff>
    </xdr:from>
    <xdr:to>
      <xdr:col>3</xdr:col>
      <xdr:colOff>714374</xdr:colOff>
      <xdr:row>92</xdr:row>
      <xdr:rowOff>0</xdr:rowOff>
    </xdr:to>
    <xdr:sp macro="" textlink="">
      <xdr:nvSpPr>
        <xdr:cNvPr id="7" name="Textfeld 6">
          <a:extLst>
            <a:ext uri="{FF2B5EF4-FFF2-40B4-BE49-F238E27FC236}">
              <a16:creationId xmlns:a16="http://schemas.microsoft.com/office/drawing/2014/main" id="{00000000-0008-0000-0C00-000007000000}"/>
            </a:ext>
          </a:extLst>
        </xdr:cNvPr>
        <xdr:cNvSpPr txBox="1"/>
      </xdr:nvSpPr>
      <xdr:spPr>
        <a:xfrm>
          <a:off x="171450" y="13430250"/>
          <a:ext cx="2828924" cy="1419225"/>
        </a:xfrm>
        <a:prstGeom prst="rect">
          <a:avLst/>
        </a:prstGeom>
        <a:solidFill>
          <a:srgbClr val="F0F0F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600" baseline="0"/>
            <a:t>leistungsgem. Rückspeisungen und leistungsgem. dezentrale Erzeugungsanlagen mit IST-Bewertung</a:t>
          </a:r>
          <a:endParaRPr lang="de-DE" sz="1600"/>
        </a:p>
      </xdr:txBody>
    </xdr:sp>
    <xdr:clientData/>
  </xdr:twoCellAnchor>
  <xdr:twoCellAnchor>
    <xdr:from>
      <xdr:col>3</xdr:col>
      <xdr:colOff>619126</xdr:colOff>
      <xdr:row>97</xdr:row>
      <xdr:rowOff>85725</xdr:rowOff>
    </xdr:from>
    <xdr:to>
      <xdr:col>4</xdr:col>
      <xdr:colOff>142876</xdr:colOff>
      <xdr:row>109</xdr:row>
      <xdr:rowOff>47625</xdr:rowOff>
    </xdr:to>
    <xdr:sp macro="" textlink="">
      <xdr:nvSpPr>
        <xdr:cNvPr id="37" name="Textfeld 36">
          <a:extLst>
            <a:ext uri="{FF2B5EF4-FFF2-40B4-BE49-F238E27FC236}">
              <a16:creationId xmlns:a16="http://schemas.microsoft.com/office/drawing/2014/main" id="{00000000-0008-0000-0C00-000025000000}"/>
            </a:ext>
          </a:extLst>
        </xdr:cNvPr>
        <xdr:cNvSpPr txBox="1"/>
      </xdr:nvSpPr>
      <xdr:spPr>
        <a:xfrm>
          <a:off x="2905126" y="15744825"/>
          <a:ext cx="285750" cy="1905000"/>
        </a:xfrm>
        <a:prstGeom prst="rect">
          <a:avLst/>
        </a:prstGeom>
        <a:solidFill>
          <a:srgbClr val="E8E8E8"/>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de-DE" sz="1100"/>
        </a:p>
      </xdr:txBody>
    </xdr:sp>
    <xdr:clientData/>
  </xdr:twoCellAnchor>
  <xdr:twoCellAnchor>
    <xdr:from>
      <xdr:col>11</xdr:col>
      <xdr:colOff>657225</xdr:colOff>
      <xdr:row>94</xdr:row>
      <xdr:rowOff>9525</xdr:rowOff>
    </xdr:from>
    <xdr:to>
      <xdr:col>12</xdr:col>
      <xdr:colOff>123825</xdr:colOff>
      <xdr:row>99</xdr:row>
      <xdr:rowOff>142875</xdr:rowOff>
    </xdr:to>
    <xdr:sp macro="" textlink="">
      <xdr:nvSpPr>
        <xdr:cNvPr id="38" name="Textfeld 37">
          <a:extLst>
            <a:ext uri="{FF2B5EF4-FFF2-40B4-BE49-F238E27FC236}">
              <a16:creationId xmlns:a16="http://schemas.microsoft.com/office/drawing/2014/main" id="{00000000-0008-0000-0C00-000026000000}"/>
            </a:ext>
          </a:extLst>
        </xdr:cNvPr>
        <xdr:cNvSpPr txBox="1"/>
      </xdr:nvSpPr>
      <xdr:spPr>
        <a:xfrm>
          <a:off x="9039225" y="15182850"/>
          <a:ext cx="228600" cy="942975"/>
        </a:xfrm>
        <a:prstGeom prst="rect">
          <a:avLst/>
        </a:prstGeom>
        <a:solidFill>
          <a:srgbClr val="E8E8E8"/>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de-DE" sz="1100"/>
        </a:p>
      </xdr:txBody>
    </xdr:sp>
    <xdr:clientData/>
  </xdr:twoCellAnchor>
  <xdr:twoCellAnchor>
    <xdr:from>
      <xdr:col>7</xdr:col>
      <xdr:colOff>390525</xdr:colOff>
      <xdr:row>97</xdr:row>
      <xdr:rowOff>85724</xdr:rowOff>
    </xdr:from>
    <xdr:to>
      <xdr:col>7</xdr:col>
      <xdr:colOff>600075</xdr:colOff>
      <xdr:row>103</xdr:row>
      <xdr:rowOff>19049</xdr:rowOff>
    </xdr:to>
    <xdr:sp macro="" textlink="">
      <xdr:nvSpPr>
        <xdr:cNvPr id="39" name="Geschweifte Klammer links 38">
          <a:extLst>
            <a:ext uri="{FF2B5EF4-FFF2-40B4-BE49-F238E27FC236}">
              <a16:creationId xmlns:a16="http://schemas.microsoft.com/office/drawing/2014/main" id="{00000000-0008-0000-0C00-000027000000}"/>
            </a:ext>
          </a:extLst>
        </xdr:cNvPr>
        <xdr:cNvSpPr/>
      </xdr:nvSpPr>
      <xdr:spPr>
        <a:xfrm>
          <a:off x="5724525" y="15744824"/>
          <a:ext cx="209550" cy="904875"/>
        </a:xfrm>
        <a:prstGeom prst="leftBrace">
          <a:avLst/>
        </a:prstGeom>
        <a:ln w="19050">
          <a:solidFill>
            <a:schemeClr val="tx1">
              <a:lumMod val="50000"/>
              <a:lumOff val="50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de-DE" sz="1100"/>
        </a:p>
      </xdr:txBody>
    </xdr:sp>
    <xdr:clientData/>
  </xdr:twoCellAnchor>
  <xdr:twoCellAnchor>
    <xdr:from>
      <xdr:col>11</xdr:col>
      <xdr:colOff>628650</xdr:colOff>
      <xdr:row>94</xdr:row>
      <xdr:rowOff>9525</xdr:rowOff>
    </xdr:from>
    <xdr:to>
      <xdr:col>12</xdr:col>
      <xdr:colOff>121919</xdr:colOff>
      <xdr:row>98</xdr:row>
      <xdr:rowOff>38100</xdr:rowOff>
    </xdr:to>
    <xdr:sp macro="" textlink="">
      <xdr:nvSpPr>
        <xdr:cNvPr id="40" name="Geschweifte Klammer links 39">
          <a:extLst>
            <a:ext uri="{FF2B5EF4-FFF2-40B4-BE49-F238E27FC236}">
              <a16:creationId xmlns:a16="http://schemas.microsoft.com/office/drawing/2014/main" id="{00000000-0008-0000-0C00-000028000000}"/>
            </a:ext>
          </a:extLst>
        </xdr:cNvPr>
        <xdr:cNvSpPr/>
      </xdr:nvSpPr>
      <xdr:spPr>
        <a:xfrm>
          <a:off x="9010650" y="15182850"/>
          <a:ext cx="255269" cy="676275"/>
        </a:xfrm>
        <a:prstGeom prst="leftBrace">
          <a:avLst>
            <a:gd name="adj1" fmla="val 8333"/>
            <a:gd name="adj2" fmla="val 64085"/>
          </a:avLst>
        </a:prstGeom>
        <a:ln w="19050">
          <a:solidFill>
            <a:schemeClr val="tx1">
              <a:lumMod val="50000"/>
              <a:lumOff val="50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de-DE" sz="1100"/>
        </a:p>
      </xdr:txBody>
    </xdr:sp>
    <xdr:clientData/>
  </xdr:twoCellAnchor>
  <xdr:twoCellAnchor>
    <xdr:from>
      <xdr:col>0</xdr:col>
      <xdr:colOff>57150</xdr:colOff>
      <xdr:row>94</xdr:row>
      <xdr:rowOff>66675</xdr:rowOff>
    </xdr:from>
    <xdr:to>
      <xdr:col>3</xdr:col>
      <xdr:colOff>600074</xdr:colOff>
      <xdr:row>103</xdr:row>
      <xdr:rowOff>28575</xdr:rowOff>
    </xdr:to>
    <xdr:sp macro="" textlink="">
      <xdr:nvSpPr>
        <xdr:cNvPr id="43" name="Textfeld 42">
          <a:extLst>
            <a:ext uri="{FF2B5EF4-FFF2-40B4-BE49-F238E27FC236}">
              <a16:creationId xmlns:a16="http://schemas.microsoft.com/office/drawing/2014/main" id="{00000000-0008-0000-0C00-00002B000000}"/>
            </a:ext>
          </a:extLst>
        </xdr:cNvPr>
        <xdr:cNvSpPr txBox="1"/>
      </xdr:nvSpPr>
      <xdr:spPr>
        <a:xfrm>
          <a:off x="57150" y="15240000"/>
          <a:ext cx="2828924" cy="1419225"/>
        </a:xfrm>
        <a:prstGeom prst="rect">
          <a:avLst/>
        </a:prstGeom>
        <a:solidFill>
          <a:srgbClr val="F0F0F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600" baseline="0"/>
            <a:t>leistungsgem. Rückspeisungen und leistungsgem. dezentrale Erzeugungsanlagen mit verstetigter Bewertung</a:t>
          </a:r>
          <a:endParaRPr lang="de-DE" sz="1600"/>
        </a:p>
      </xdr:txBody>
    </xdr:sp>
    <xdr:clientData/>
  </xdr:twoCellAnchor>
  <xdr:twoCellAnchor>
    <xdr:from>
      <xdr:col>0</xdr:col>
      <xdr:colOff>66675</xdr:colOff>
      <xdr:row>102</xdr:row>
      <xdr:rowOff>123825</xdr:rowOff>
    </xdr:from>
    <xdr:to>
      <xdr:col>3</xdr:col>
      <xdr:colOff>609599</xdr:colOff>
      <xdr:row>111</xdr:row>
      <xdr:rowOff>85725</xdr:rowOff>
    </xdr:to>
    <xdr:sp macro="" textlink="">
      <xdr:nvSpPr>
        <xdr:cNvPr id="46" name="Textfeld 45">
          <a:extLst>
            <a:ext uri="{FF2B5EF4-FFF2-40B4-BE49-F238E27FC236}">
              <a16:creationId xmlns:a16="http://schemas.microsoft.com/office/drawing/2014/main" id="{00000000-0008-0000-0C00-00002E000000}"/>
            </a:ext>
          </a:extLst>
        </xdr:cNvPr>
        <xdr:cNvSpPr txBox="1"/>
      </xdr:nvSpPr>
      <xdr:spPr>
        <a:xfrm>
          <a:off x="66675" y="16592550"/>
          <a:ext cx="2828924" cy="1419225"/>
        </a:xfrm>
        <a:prstGeom prst="rect">
          <a:avLst/>
        </a:prstGeom>
        <a:solidFill>
          <a:srgbClr val="F0F0F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600" baseline="0"/>
            <a:t>nicht leistungsgem. Rückspeisungen und nicht leistungsgem. dezentrale Erzeugungsanlagen mit verstetigter Bewertung</a:t>
          </a:r>
          <a:endParaRPr lang="de-DE" sz="1600"/>
        </a:p>
      </xdr:txBody>
    </xdr:sp>
    <xdr:clientData/>
  </xdr:twoCellAnchor>
  <xdr:twoCellAnchor>
    <xdr:from>
      <xdr:col>3</xdr:col>
      <xdr:colOff>571501</xdr:colOff>
      <xdr:row>98</xdr:row>
      <xdr:rowOff>9525</xdr:rowOff>
    </xdr:from>
    <xdr:to>
      <xdr:col>4</xdr:col>
      <xdr:colOff>131445</xdr:colOff>
      <xdr:row>104</xdr:row>
      <xdr:rowOff>152400</xdr:rowOff>
    </xdr:to>
    <xdr:sp macro="" textlink="">
      <xdr:nvSpPr>
        <xdr:cNvPr id="47" name="Geschweifte Klammer links 46">
          <a:extLst>
            <a:ext uri="{FF2B5EF4-FFF2-40B4-BE49-F238E27FC236}">
              <a16:creationId xmlns:a16="http://schemas.microsoft.com/office/drawing/2014/main" id="{00000000-0008-0000-0C00-00002F000000}"/>
            </a:ext>
          </a:extLst>
        </xdr:cNvPr>
        <xdr:cNvSpPr/>
      </xdr:nvSpPr>
      <xdr:spPr>
        <a:xfrm>
          <a:off x="2857501" y="15830550"/>
          <a:ext cx="321944" cy="1114425"/>
        </a:xfrm>
        <a:prstGeom prst="leftBrace">
          <a:avLst>
            <a:gd name="adj1" fmla="val 8333"/>
            <a:gd name="adj2" fmla="val 20940"/>
          </a:avLst>
        </a:prstGeom>
        <a:ln w="19050">
          <a:solidFill>
            <a:schemeClr val="tx1">
              <a:lumMod val="50000"/>
              <a:lumOff val="50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de-DE" sz="1100"/>
        </a:p>
      </xdr:txBody>
    </xdr:sp>
    <xdr:clientData/>
  </xdr:twoCellAnchor>
  <xdr:twoCellAnchor>
    <xdr:from>
      <xdr:col>3</xdr:col>
      <xdr:colOff>571500</xdr:colOff>
      <xdr:row>105</xdr:row>
      <xdr:rowOff>28575</xdr:rowOff>
    </xdr:from>
    <xdr:to>
      <xdr:col>4</xdr:col>
      <xdr:colOff>123825</xdr:colOff>
      <xdr:row>109</xdr:row>
      <xdr:rowOff>19050</xdr:rowOff>
    </xdr:to>
    <xdr:sp macro="" textlink="">
      <xdr:nvSpPr>
        <xdr:cNvPr id="48" name="Geschweifte Klammer links 47">
          <a:extLst>
            <a:ext uri="{FF2B5EF4-FFF2-40B4-BE49-F238E27FC236}">
              <a16:creationId xmlns:a16="http://schemas.microsoft.com/office/drawing/2014/main" id="{00000000-0008-0000-0C00-000030000000}"/>
            </a:ext>
          </a:extLst>
        </xdr:cNvPr>
        <xdr:cNvSpPr/>
      </xdr:nvSpPr>
      <xdr:spPr>
        <a:xfrm>
          <a:off x="2857500" y="16983075"/>
          <a:ext cx="314325" cy="638175"/>
        </a:xfrm>
        <a:prstGeom prst="leftBrace">
          <a:avLst/>
        </a:prstGeom>
        <a:ln w="19050">
          <a:solidFill>
            <a:schemeClr val="tx1">
              <a:lumMod val="50000"/>
              <a:lumOff val="50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de-DE" sz="1100"/>
        </a:p>
      </xdr:txBody>
    </xdr:sp>
    <xdr:clientData/>
  </xdr:twoCellAnchor>
  <xdr:twoCellAnchor>
    <xdr:from>
      <xdr:col>9</xdr:col>
      <xdr:colOff>704850</xdr:colOff>
      <xdr:row>95</xdr:row>
      <xdr:rowOff>161924</xdr:rowOff>
    </xdr:from>
    <xdr:to>
      <xdr:col>11</xdr:col>
      <xdr:colOff>581023</xdr:colOff>
      <xdr:row>98</xdr:row>
      <xdr:rowOff>85724</xdr:rowOff>
    </xdr:to>
    <mc:AlternateContent xmlns:mc="http://schemas.openxmlformats.org/markup-compatibility/2006" xmlns:a14="http://schemas.microsoft.com/office/drawing/2010/main">
      <mc:Choice Requires="a14">
        <xdr:sp macro="" textlink="">
          <xdr:nvSpPr>
            <xdr:cNvPr id="49" name="Textfeld 48">
              <a:extLst>
                <a:ext uri="{FF2B5EF4-FFF2-40B4-BE49-F238E27FC236}">
                  <a16:creationId xmlns:a16="http://schemas.microsoft.com/office/drawing/2014/main" id="{00000000-0008-0000-0C00-000031000000}"/>
                </a:ext>
              </a:extLst>
            </xdr:cNvPr>
            <xdr:cNvSpPr txBox="1"/>
          </xdr:nvSpPr>
          <xdr:spPr>
            <a:xfrm>
              <a:off x="7562850" y="15497174"/>
              <a:ext cx="1400173" cy="409575"/>
            </a:xfrm>
            <a:prstGeom prst="rect">
              <a:avLst/>
            </a:prstGeom>
            <a:solidFill>
              <a:srgbClr val="F0F0F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0" lang="de-DE" sz="2000" b="0" i="1" u="none" strike="noStrike" kern="0" cap="none" spc="0" normalizeH="0" baseline="0" noProof="0">
                  <a:ln>
                    <a:noFill/>
                  </a:ln>
                  <a:solidFill>
                    <a:schemeClr val="tx1"/>
                  </a:solidFill>
                  <a:effectLst/>
                  <a:uLnTx/>
                  <a:uFillTx/>
                  <a:latin typeface="+mn-lt"/>
                  <a:ea typeface="+mn-ea"/>
                  <a:cs typeface="+mn-cs"/>
                </a:rPr>
                <a:t>s * </a:t>
              </a:r>
              <a:r>
                <a:rPr kumimoji="0" lang="de-DE" sz="2000" b="0" i="1" u="none" strike="noStrike" kern="0" cap="none" spc="0" normalizeH="0" baseline="0" noProof="0">
                  <a:ln>
                    <a:noFill/>
                  </a:ln>
                  <a:solidFill>
                    <a:srgbClr val="00B050"/>
                  </a:solidFill>
                  <a:effectLst/>
                  <a:uLnTx/>
                  <a:uFillTx/>
                  <a:latin typeface="+mn-lt"/>
                  <a:ea typeface="+mn-ea"/>
                  <a:cs typeface="+mn-cs"/>
                </a:rPr>
                <a:t> </a:t>
              </a:r>
              <a14:m>
                <m:oMath xmlns:m="http://schemas.openxmlformats.org/officeDocument/2006/math">
                  <m:sSubSup>
                    <m:sSubSupPr>
                      <m:ctrlPr>
                        <a:rPr kumimoji="0" lang="de-DE" sz="2000" b="0" i="1" u="none" strike="noStrike" kern="1200" cap="none" spc="0" normalizeH="0" baseline="0" noProof="0">
                          <a:ln>
                            <a:noFill/>
                          </a:ln>
                          <a:solidFill>
                            <a:srgbClr val="00B050"/>
                          </a:solidFill>
                          <a:effectLst/>
                          <a:uLnTx/>
                          <a:uFillTx/>
                          <a:latin typeface="Cambria Math" panose="02040503050406030204" pitchFamily="18" charset="0"/>
                          <a:ea typeface="+mn-ea"/>
                          <a:cs typeface="+mn-cs"/>
                        </a:rPr>
                      </m:ctrlPr>
                    </m:sSubSupPr>
                    <m:e>
                      <m:r>
                        <a:rPr kumimoji="0" lang="de-DE" sz="2000" b="0" i="1" u="none" strike="noStrike" kern="1200" cap="none" spc="0" normalizeH="0" baseline="0" noProof="0">
                          <a:ln>
                            <a:noFill/>
                          </a:ln>
                          <a:solidFill>
                            <a:srgbClr val="00B050"/>
                          </a:solidFill>
                          <a:effectLst/>
                          <a:uLnTx/>
                          <a:uFillTx/>
                          <a:latin typeface="Cambria Math"/>
                          <a:ea typeface="+mn-ea"/>
                          <a:cs typeface="+mn-cs"/>
                        </a:rPr>
                        <m:t>𝑃</m:t>
                      </m:r>
                    </m:e>
                    <m:sub>
                      <m:r>
                        <a:rPr kumimoji="0" lang="de-DE" sz="2000" b="0" i="1" u="none" strike="noStrike" kern="1200" cap="none" spc="0" normalizeH="0" baseline="0" noProof="0">
                          <a:ln>
                            <a:noFill/>
                          </a:ln>
                          <a:solidFill>
                            <a:srgbClr val="00B050"/>
                          </a:solidFill>
                          <a:effectLst/>
                          <a:uLnTx/>
                          <a:uFillTx/>
                          <a:latin typeface="Cambria Math"/>
                          <a:ea typeface="+mn-ea"/>
                          <a:cs typeface="+mn-cs"/>
                        </a:rPr>
                        <m:t>𝑣</m:t>
                      </m:r>
                      <m:r>
                        <a:rPr kumimoji="0" lang="de-DE" sz="2000" b="0" i="1" u="none" strike="noStrike" kern="1200" cap="none" spc="0" normalizeH="0" baseline="0" noProof="0">
                          <a:ln>
                            <a:noFill/>
                          </a:ln>
                          <a:solidFill>
                            <a:srgbClr val="00B050"/>
                          </a:solidFill>
                          <a:effectLst/>
                          <a:uLnTx/>
                          <a:uFillTx/>
                          <a:latin typeface="Cambria Math"/>
                          <a:ea typeface="+mn-ea"/>
                          <a:cs typeface="+mn-cs"/>
                        </a:rPr>
                        <m:t>,</m:t>
                      </m:r>
                      <m:r>
                        <a:rPr kumimoji="0" lang="de-DE" sz="2000" b="0" i="1" u="none" strike="noStrike" kern="1200" cap="none" spc="0" normalizeH="0" baseline="0" noProof="0">
                          <a:ln>
                            <a:noFill/>
                          </a:ln>
                          <a:solidFill>
                            <a:srgbClr val="00B050"/>
                          </a:solidFill>
                          <a:effectLst/>
                          <a:uLnTx/>
                          <a:uFillTx/>
                          <a:latin typeface="Cambria Math"/>
                          <a:ea typeface="+mn-ea"/>
                          <a:cs typeface="+mn-cs"/>
                        </a:rPr>
                        <m:t>𝑡𝐸</m:t>
                      </m:r>
                    </m:sub>
                    <m:sup>
                      <m:r>
                        <a:rPr kumimoji="0" lang="de-DE" sz="2000" b="0" i="1" u="none" strike="noStrike" kern="1200" cap="none" spc="0" normalizeH="0" baseline="0" noProof="0">
                          <a:ln>
                            <a:noFill/>
                          </a:ln>
                          <a:solidFill>
                            <a:srgbClr val="00B050"/>
                          </a:solidFill>
                          <a:effectLst/>
                          <a:uLnTx/>
                          <a:uFillTx/>
                          <a:latin typeface="Cambria Math"/>
                          <a:ea typeface="+mn-ea"/>
                          <a:cs typeface="+mn-cs"/>
                        </a:rPr>
                        <m:t>𝐿</m:t>
                      </m:r>
                    </m:sup>
                  </m:sSubSup>
                </m:oMath>
              </a14:m>
              <a:r>
                <a:rPr kumimoji="0" lang="de-DE" sz="2000" b="0" i="1" u="none" strike="noStrike" kern="0" cap="none" spc="0" normalizeH="0" baseline="0" noProof="0">
                  <a:ln>
                    <a:noFill/>
                  </a:ln>
                  <a:solidFill>
                    <a:sysClr val="windowText" lastClr="000000"/>
                  </a:solidFill>
                  <a:effectLst/>
                  <a:uLnTx/>
                  <a:uFillTx/>
                  <a:latin typeface="+mn-lt"/>
                  <a:ea typeface="+mn-ea"/>
                  <a:cs typeface="+mn-cs"/>
                </a:rPr>
                <a:t> </a:t>
              </a:r>
              <a:endParaRPr lang="de-DE" sz="1100"/>
            </a:p>
          </xdr:txBody>
        </xdr:sp>
      </mc:Choice>
      <mc:Fallback xmlns="">
        <xdr:sp macro="" textlink="">
          <xdr:nvSpPr>
            <xdr:cNvPr id="49" name="Textfeld 48"/>
            <xdr:cNvSpPr txBox="1"/>
          </xdr:nvSpPr>
          <xdr:spPr>
            <a:xfrm>
              <a:off x="7562850" y="15497174"/>
              <a:ext cx="1400173" cy="409575"/>
            </a:xfrm>
            <a:prstGeom prst="rect">
              <a:avLst/>
            </a:prstGeom>
            <a:solidFill>
              <a:srgbClr val="F0F0F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0" lang="de-DE" sz="2000" b="0" i="1" u="none" strike="noStrike" kern="0" cap="none" spc="0" normalizeH="0" baseline="0" noProof="0">
                  <a:ln>
                    <a:noFill/>
                  </a:ln>
                  <a:solidFill>
                    <a:schemeClr val="tx1"/>
                  </a:solidFill>
                  <a:effectLst/>
                  <a:uLnTx/>
                  <a:uFillTx/>
                  <a:latin typeface="+mn-lt"/>
                  <a:ea typeface="+mn-ea"/>
                  <a:cs typeface="+mn-cs"/>
                </a:rPr>
                <a:t>s * </a:t>
              </a:r>
              <a:r>
                <a:rPr kumimoji="0" lang="de-DE" sz="2000" b="0" i="1" u="none" strike="noStrike" kern="0" cap="none" spc="0" normalizeH="0" baseline="0" noProof="0">
                  <a:ln>
                    <a:noFill/>
                  </a:ln>
                  <a:solidFill>
                    <a:srgbClr val="00B050"/>
                  </a:solidFill>
                  <a:effectLst/>
                  <a:uLnTx/>
                  <a:uFillTx/>
                  <a:latin typeface="+mn-lt"/>
                  <a:ea typeface="+mn-ea"/>
                  <a:cs typeface="+mn-cs"/>
                </a:rPr>
                <a:t> </a:t>
              </a:r>
              <a:r>
                <a:rPr kumimoji="0" lang="de-DE" sz="2000" b="0" i="0" u="none" strike="noStrike" kern="1200" cap="none" spc="0" normalizeH="0" baseline="0" noProof="0">
                  <a:ln>
                    <a:noFill/>
                  </a:ln>
                  <a:solidFill>
                    <a:srgbClr val="00B050"/>
                  </a:solidFill>
                  <a:effectLst/>
                  <a:uLnTx/>
                  <a:uFillTx/>
                  <a:latin typeface="Cambria Math"/>
                  <a:ea typeface="+mn-ea"/>
                  <a:cs typeface="+mn-cs"/>
                </a:rPr>
                <a:t>𝑃_(𝑣,𝑡𝐸)^𝐿</a:t>
              </a:r>
              <a:r>
                <a:rPr kumimoji="0" lang="de-DE" sz="2000" b="0" i="1" u="none" strike="noStrike" kern="0" cap="none" spc="0" normalizeH="0" baseline="0" noProof="0">
                  <a:ln>
                    <a:noFill/>
                  </a:ln>
                  <a:solidFill>
                    <a:sysClr val="windowText" lastClr="000000"/>
                  </a:solidFill>
                  <a:effectLst/>
                  <a:uLnTx/>
                  <a:uFillTx/>
                  <a:latin typeface="+mn-lt"/>
                  <a:ea typeface="+mn-ea"/>
                  <a:cs typeface="+mn-cs"/>
                </a:rPr>
                <a:t> </a:t>
              </a:r>
              <a:endParaRPr lang="de-DE" sz="1100"/>
            </a:p>
          </xdr:txBody>
        </xdr:sp>
      </mc:Fallback>
    </mc:AlternateContent>
    <xdr:clientData/>
  </xdr:twoCellAnchor>
  <xdr:twoCellAnchor>
    <xdr:from>
      <xdr:col>10</xdr:col>
      <xdr:colOff>76201</xdr:colOff>
      <xdr:row>98</xdr:row>
      <xdr:rowOff>152400</xdr:rowOff>
    </xdr:from>
    <xdr:to>
      <xdr:col>11</xdr:col>
      <xdr:colOff>542925</xdr:colOff>
      <xdr:row>101</xdr:row>
      <xdr:rowOff>57150</xdr:rowOff>
    </xdr:to>
    <mc:AlternateContent xmlns:mc="http://schemas.openxmlformats.org/markup-compatibility/2006" xmlns:a14="http://schemas.microsoft.com/office/drawing/2010/main">
      <mc:Choice Requires="a14">
        <xdr:sp macro="" textlink="">
          <xdr:nvSpPr>
            <xdr:cNvPr id="50" name="Textfeld 49">
              <a:extLst>
                <a:ext uri="{FF2B5EF4-FFF2-40B4-BE49-F238E27FC236}">
                  <a16:creationId xmlns:a16="http://schemas.microsoft.com/office/drawing/2014/main" id="{00000000-0008-0000-0C00-000032000000}"/>
                </a:ext>
              </a:extLst>
            </xdr:cNvPr>
            <xdr:cNvSpPr txBox="1"/>
          </xdr:nvSpPr>
          <xdr:spPr>
            <a:xfrm>
              <a:off x="7696201" y="15973425"/>
              <a:ext cx="1228724" cy="390525"/>
            </a:xfrm>
            <a:prstGeom prst="rect">
              <a:avLst/>
            </a:prstGeom>
            <a:solidFill>
              <a:srgbClr val="F0F0F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0" lang="de-DE" sz="2000" b="0" i="1" u="none" strike="noStrike" kern="0" cap="none" spc="0" normalizeH="0" baseline="0" noProof="0">
                  <a:ln>
                    <a:noFill/>
                  </a:ln>
                  <a:solidFill>
                    <a:schemeClr val="tx1"/>
                  </a:solidFill>
                  <a:effectLst/>
                  <a:uLnTx/>
                  <a:uFillTx/>
                  <a:latin typeface="+mn-lt"/>
                  <a:ea typeface="+mn-ea"/>
                  <a:cs typeface="+mn-cs"/>
                </a:rPr>
                <a:t>s * </a:t>
              </a:r>
              <a:r>
                <a:rPr kumimoji="0" lang="de-DE" sz="2000" b="0" i="1" u="none" strike="noStrike" kern="0" cap="none" spc="0" normalizeH="0" baseline="0" noProof="0">
                  <a:ln>
                    <a:noFill/>
                  </a:ln>
                  <a:solidFill>
                    <a:srgbClr val="00B050"/>
                  </a:solidFill>
                  <a:effectLst/>
                  <a:uLnTx/>
                  <a:uFillTx/>
                  <a:latin typeface="+mn-lt"/>
                  <a:ea typeface="+mn-ea"/>
                  <a:cs typeface="+mn-cs"/>
                </a:rPr>
                <a:t> </a:t>
              </a:r>
              <a14:m>
                <m:oMath xmlns:m="http://schemas.openxmlformats.org/officeDocument/2006/math">
                  <m:sSubSup>
                    <m:sSubSupPr>
                      <m:ctrlPr>
                        <a:rPr kumimoji="0" lang="de-DE" sz="2000" b="0" i="1" u="none" strike="noStrike" kern="1200" cap="none" spc="0" normalizeH="0" baseline="0" noProof="0">
                          <a:ln>
                            <a:noFill/>
                          </a:ln>
                          <a:solidFill>
                            <a:srgbClr val="00B050"/>
                          </a:solidFill>
                          <a:effectLst/>
                          <a:uLnTx/>
                          <a:uFillTx/>
                          <a:latin typeface="Cambria Math" panose="02040503050406030204" pitchFamily="18" charset="0"/>
                          <a:ea typeface="+mn-ea"/>
                          <a:cs typeface="+mn-cs"/>
                        </a:rPr>
                      </m:ctrlPr>
                    </m:sSubSupPr>
                    <m:e>
                      <m:r>
                        <a:rPr kumimoji="0" lang="de-DE" sz="2000" b="0" i="1" u="none" strike="noStrike" kern="1200" cap="none" spc="0" normalizeH="0" baseline="0" noProof="0">
                          <a:ln>
                            <a:noFill/>
                          </a:ln>
                          <a:solidFill>
                            <a:srgbClr val="00B050"/>
                          </a:solidFill>
                          <a:effectLst/>
                          <a:uLnTx/>
                          <a:uFillTx/>
                          <a:latin typeface="Cambria Math"/>
                          <a:ea typeface="+mn-ea"/>
                          <a:cs typeface="+mn-cs"/>
                        </a:rPr>
                        <m:t>𝑃</m:t>
                      </m:r>
                    </m:e>
                    <m:sub>
                      <m:r>
                        <a:rPr kumimoji="0" lang="de-DE" sz="2000" b="0" i="1" u="none" strike="noStrike" kern="1200" cap="none" spc="0" normalizeH="0" baseline="0" noProof="0">
                          <a:ln>
                            <a:noFill/>
                          </a:ln>
                          <a:solidFill>
                            <a:srgbClr val="00B050"/>
                          </a:solidFill>
                          <a:effectLst/>
                          <a:uLnTx/>
                          <a:uFillTx/>
                          <a:latin typeface="Cambria Math"/>
                          <a:ea typeface="+mn-ea"/>
                          <a:cs typeface="+mn-cs"/>
                        </a:rPr>
                        <m:t>𝑣</m:t>
                      </m:r>
                      <m:r>
                        <a:rPr kumimoji="0" lang="de-DE" sz="2000" b="0" i="1" u="none" strike="noStrike" kern="1200" cap="none" spc="0" normalizeH="0" baseline="0" noProof="0">
                          <a:ln>
                            <a:noFill/>
                          </a:ln>
                          <a:solidFill>
                            <a:srgbClr val="00B050"/>
                          </a:solidFill>
                          <a:effectLst/>
                          <a:uLnTx/>
                          <a:uFillTx/>
                          <a:latin typeface="Cambria Math"/>
                          <a:ea typeface="+mn-ea"/>
                          <a:cs typeface="+mn-cs"/>
                        </a:rPr>
                        <m:t>,</m:t>
                      </m:r>
                      <m:r>
                        <a:rPr kumimoji="0" lang="de-DE" sz="2000" b="0" i="1" u="none" strike="noStrike" kern="1200" cap="none" spc="0" normalizeH="0" baseline="0" noProof="0">
                          <a:ln>
                            <a:noFill/>
                          </a:ln>
                          <a:solidFill>
                            <a:srgbClr val="00B050"/>
                          </a:solidFill>
                          <a:effectLst/>
                          <a:uLnTx/>
                          <a:uFillTx/>
                          <a:latin typeface="Cambria Math"/>
                          <a:ea typeface="+mn-ea"/>
                          <a:cs typeface="+mn-cs"/>
                        </a:rPr>
                        <m:t>𝑡𝐸</m:t>
                      </m:r>
                    </m:sub>
                    <m:sup>
                      <m:r>
                        <a:rPr kumimoji="0" lang="de-DE" sz="2000" b="0" i="1" u="none" strike="noStrike" kern="1200" cap="none" spc="0" normalizeH="0" baseline="0" noProof="0">
                          <a:ln>
                            <a:noFill/>
                          </a:ln>
                          <a:solidFill>
                            <a:srgbClr val="00B050"/>
                          </a:solidFill>
                          <a:effectLst/>
                          <a:uLnTx/>
                          <a:uFillTx/>
                          <a:latin typeface="Cambria Math"/>
                          <a:ea typeface="+mn-ea"/>
                          <a:cs typeface="+mn-cs"/>
                        </a:rPr>
                        <m:t>𝑛𝐿</m:t>
                      </m:r>
                    </m:sup>
                  </m:sSubSup>
                </m:oMath>
              </a14:m>
              <a:r>
                <a:rPr kumimoji="0" lang="de-DE" sz="2000" b="0" i="1" u="none" strike="noStrike" kern="0" cap="none" spc="0" normalizeH="0" baseline="0" noProof="0">
                  <a:ln>
                    <a:noFill/>
                  </a:ln>
                  <a:solidFill>
                    <a:sysClr val="windowText" lastClr="000000"/>
                  </a:solidFill>
                  <a:effectLst/>
                  <a:uLnTx/>
                  <a:uFillTx/>
                  <a:latin typeface="+mn-lt"/>
                  <a:ea typeface="+mn-ea"/>
                  <a:cs typeface="+mn-cs"/>
                </a:rPr>
                <a:t> </a:t>
              </a:r>
              <a:endParaRPr lang="de-DE" sz="1100"/>
            </a:p>
          </xdr:txBody>
        </xdr:sp>
      </mc:Choice>
      <mc:Fallback xmlns="">
        <xdr:sp macro="" textlink="">
          <xdr:nvSpPr>
            <xdr:cNvPr id="50" name="Textfeld 49"/>
            <xdr:cNvSpPr txBox="1"/>
          </xdr:nvSpPr>
          <xdr:spPr>
            <a:xfrm>
              <a:off x="7696201" y="15973425"/>
              <a:ext cx="1228724" cy="390525"/>
            </a:xfrm>
            <a:prstGeom prst="rect">
              <a:avLst/>
            </a:prstGeom>
            <a:solidFill>
              <a:srgbClr val="F0F0F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0" lang="de-DE" sz="2000" b="0" i="1" u="none" strike="noStrike" kern="0" cap="none" spc="0" normalizeH="0" baseline="0" noProof="0">
                  <a:ln>
                    <a:noFill/>
                  </a:ln>
                  <a:solidFill>
                    <a:schemeClr val="tx1"/>
                  </a:solidFill>
                  <a:effectLst/>
                  <a:uLnTx/>
                  <a:uFillTx/>
                  <a:latin typeface="+mn-lt"/>
                  <a:ea typeface="+mn-ea"/>
                  <a:cs typeface="+mn-cs"/>
                </a:rPr>
                <a:t>s * </a:t>
              </a:r>
              <a:r>
                <a:rPr kumimoji="0" lang="de-DE" sz="2000" b="0" i="1" u="none" strike="noStrike" kern="0" cap="none" spc="0" normalizeH="0" baseline="0" noProof="0">
                  <a:ln>
                    <a:noFill/>
                  </a:ln>
                  <a:solidFill>
                    <a:srgbClr val="00B050"/>
                  </a:solidFill>
                  <a:effectLst/>
                  <a:uLnTx/>
                  <a:uFillTx/>
                  <a:latin typeface="+mn-lt"/>
                  <a:ea typeface="+mn-ea"/>
                  <a:cs typeface="+mn-cs"/>
                </a:rPr>
                <a:t> </a:t>
              </a:r>
              <a:r>
                <a:rPr kumimoji="0" lang="de-DE" sz="2000" b="0" i="0" u="none" strike="noStrike" kern="1200" cap="none" spc="0" normalizeH="0" baseline="0" noProof="0">
                  <a:ln>
                    <a:noFill/>
                  </a:ln>
                  <a:solidFill>
                    <a:srgbClr val="00B050"/>
                  </a:solidFill>
                  <a:effectLst/>
                  <a:uLnTx/>
                  <a:uFillTx/>
                  <a:latin typeface="Cambria Math"/>
                  <a:ea typeface="+mn-ea"/>
                  <a:cs typeface="+mn-cs"/>
                </a:rPr>
                <a:t>𝑃_(𝑣,𝑡𝐸)^𝑛𝐿</a:t>
              </a:r>
              <a:r>
                <a:rPr kumimoji="0" lang="de-DE" sz="2000" b="0" i="1" u="none" strike="noStrike" kern="0" cap="none" spc="0" normalizeH="0" baseline="0" noProof="0">
                  <a:ln>
                    <a:noFill/>
                  </a:ln>
                  <a:solidFill>
                    <a:sysClr val="windowText" lastClr="000000"/>
                  </a:solidFill>
                  <a:effectLst/>
                  <a:uLnTx/>
                  <a:uFillTx/>
                  <a:latin typeface="+mn-lt"/>
                  <a:ea typeface="+mn-ea"/>
                  <a:cs typeface="+mn-cs"/>
                </a:rPr>
                <a:t> </a:t>
              </a:r>
              <a:endParaRPr lang="de-DE" sz="1100"/>
            </a:p>
          </xdr:txBody>
        </xdr:sp>
      </mc:Fallback>
    </mc:AlternateContent>
    <xdr:clientData/>
  </xdr:twoCellAnchor>
  <xdr:twoCellAnchor>
    <xdr:from>
      <xdr:col>4</xdr:col>
      <xdr:colOff>476251</xdr:colOff>
      <xdr:row>104</xdr:row>
      <xdr:rowOff>38100</xdr:rowOff>
    </xdr:from>
    <xdr:to>
      <xdr:col>7</xdr:col>
      <xdr:colOff>390525</xdr:colOff>
      <xdr:row>107</xdr:row>
      <xdr:rowOff>47624</xdr:rowOff>
    </xdr:to>
    <mc:AlternateContent xmlns:mc="http://schemas.openxmlformats.org/markup-compatibility/2006" xmlns:a14="http://schemas.microsoft.com/office/drawing/2010/main">
      <mc:Choice Requires="a14">
        <xdr:sp macro="" textlink="">
          <xdr:nvSpPr>
            <xdr:cNvPr id="52" name="Textfeld 51">
              <a:extLst>
                <a:ext uri="{FF2B5EF4-FFF2-40B4-BE49-F238E27FC236}">
                  <a16:creationId xmlns:a16="http://schemas.microsoft.com/office/drawing/2014/main" id="{00000000-0008-0000-0C00-000034000000}"/>
                </a:ext>
              </a:extLst>
            </xdr:cNvPr>
            <xdr:cNvSpPr txBox="1"/>
          </xdr:nvSpPr>
          <xdr:spPr>
            <a:xfrm>
              <a:off x="3524251" y="16830675"/>
              <a:ext cx="2200274" cy="495299"/>
            </a:xfrm>
            <a:prstGeom prst="rect">
              <a:avLst/>
            </a:prstGeom>
            <a:solidFill>
              <a:srgbClr val="F0F0F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0" lang="de-DE" sz="2000" b="0" i="1" u="none" strike="noStrike" kern="0" cap="none" spc="0" normalizeH="0" baseline="0" noProof="0">
                  <a:ln>
                    <a:noFill/>
                  </a:ln>
                  <a:solidFill>
                    <a:srgbClr val="FF0000"/>
                  </a:solidFill>
                  <a:effectLst/>
                  <a:uLnTx/>
                  <a:uFillTx/>
                  <a:latin typeface="+mn-lt"/>
                  <a:ea typeface="+mn-ea"/>
                  <a:cs typeface="+mn-cs"/>
                </a:rPr>
                <a:t>a</a:t>
              </a:r>
              <a:r>
                <a:rPr kumimoji="0" lang="de-DE" sz="2000" b="0" i="1" u="none" strike="noStrike" kern="0" cap="none" spc="0" normalizeH="0" baseline="30000" noProof="0">
                  <a:ln>
                    <a:noFill/>
                  </a:ln>
                  <a:solidFill>
                    <a:srgbClr val="FF0000"/>
                  </a:solidFill>
                  <a:effectLst/>
                  <a:uLnTx/>
                  <a:uFillTx/>
                  <a:latin typeface="+mn-lt"/>
                  <a:ea typeface="+mn-ea"/>
                  <a:cs typeface="+mn-cs"/>
                </a:rPr>
                <a:t>nL</a:t>
              </a:r>
              <a:r>
                <a:rPr kumimoji="0" lang="de-DE" sz="2000" b="0" i="1" u="none" strike="noStrike" kern="0" cap="none" spc="0" normalizeH="0" baseline="0" noProof="0">
                  <a:ln>
                    <a:noFill/>
                  </a:ln>
                  <a:solidFill>
                    <a:srgbClr val="FF0000"/>
                  </a:solidFill>
                  <a:effectLst/>
                  <a:uLnTx/>
                  <a:uFillTx/>
                  <a:latin typeface="+mn-lt"/>
                  <a:ea typeface="+mn-ea"/>
                  <a:cs typeface="+mn-cs"/>
                </a:rPr>
                <a:t> *</a:t>
              </a:r>
              <a:r>
                <a:rPr kumimoji="0" lang="de-DE" sz="2000" b="0" i="1" u="none" strike="noStrike" kern="0" cap="none" spc="0" normalizeH="0" baseline="0" noProof="0">
                  <a:ln>
                    <a:noFill/>
                  </a:ln>
                  <a:solidFill>
                    <a:srgbClr val="00B050"/>
                  </a:solidFill>
                  <a:effectLst/>
                  <a:uLnTx/>
                  <a:uFillTx/>
                  <a:latin typeface="+mn-lt"/>
                  <a:ea typeface="+mn-ea"/>
                  <a:cs typeface="+mn-cs"/>
                </a:rPr>
                <a:t> </a:t>
              </a:r>
              <a14:m>
                <m:oMath xmlns:m="http://schemas.openxmlformats.org/officeDocument/2006/math">
                  <m:sSubSup>
                    <m:sSubSupPr>
                      <m:ctrlPr>
                        <a:rPr kumimoji="0" lang="de-DE" sz="2000" b="0" i="1" u="none" strike="noStrike" kern="1200" cap="none" spc="0" normalizeH="0" baseline="0" noProof="0">
                          <a:ln>
                            <a:noFill/>
                          </a:ln>
                          <a:solidFill>
                            <a:srgbClr val="00B050"/>
                          </a:solidFill>
                          <a:effectLst/>
                          <a:uLnTx/>
                          <a:uFillTx/>
                          <a:latin typeface="Cambria Math" panose="02040503050406030204" pitchFamily="18" charset="0"/>
                          <a:ea typeface="+mn-ea"/>
                          <a:cs typeface="+mn-cs"/>
                        </a:rPr>
                      </m:ctrlPr>
                    </m:sSubSupPr>
                    <m:e>
                      <m:r>
                        <a:rPr kumimoji="0" lang="de-DE" sz="2000" b="0" i="1" u="none" strike="noStrike" kern="1200" cap="none" spc="0" normalizeH="0" baseline="0" noProof="0">
                          <a:ln>
                            <a:noFill/>
                          </a:ln>
                          <a:solidFill>
                            <a:srgbClr val="00B050"/>
                          </a:solidFill>
                          <a:effectLst/>
                          <a:uLnTx/>
                          <a:uFillTx/>
                          <a:latin typeface="Cambria Math"/>
                          <a:ea typeface="+mn-ea"/>
                          <a:cs typeface="+mn-cs"/>
                        </a:rPr>
                        <m:t>𝑃</m:t>
                      </m:r>
                    </m:e>
                    <m:sub>
                      <m:r>
                        <a:rPr kumimoji="0" lang="de-DE" sz="2000" b="0" i="1" u="none" strike="noStrike" kern="1200" cap="none" spc="0" normalizeH="0" baseline="0" noProof="0">
                          <a:ln>
                            <a:noFill/>
                          </a:ln>
                          <a:solidFill>
                            <a:srgbClr val="00B050"/>
                          </a:solidFill>
                          <a:effectLst/>
                          <a:uLnTx/>
                          <a:uFillTx/>
                          <a:latin typeface="Cambria Math"/>
                          <a:ea typeface="+mn-ea"/>
                          <a:cs typeface="+mn-cs"/>
                        </a:rPr>
                        <m:t>𝑣</m:t>
                      </m:r>
                    </m:sub>
                    <m:sup>
                      <m:r>
                        <a:rPr kumimoji="0" lang="de-DE" sz="2000" b="0" i="1" u="none" strike="noStrike" kern="1200" cap="none" spc="0" normalizeH="0" baseline="0" noProof="0">
                          <a:ln>
                            <a:noFill/>
                          </a:ln>
                          <a:solidFill>
                            <a:srgbClr val="00B050"/>
                          </a:solidFill>
                          <a:effectLst/>
                          <a:uLnTx/>
                          <a:uFillTx/>
                          <a:latin typeface="Cambria Math"/>
                          <a:ea typeface="+mn-ea"/>
                          <a:cs typeface="+mn-cs"/>
                        </a:rPr>
                        <m:t>𝑛𝐿</m:t>
                      </m:r>
                    </m:sup>
                  </m:sSubSup>
                </m:oMath>
              </a14:m>
              <a:r>
                <a:rPr kumimoji="0" lang="de-DE" sz="2000" b="0" i="1" u="none" strike="noStrike" kern="0" cap="none" spc="0" normalizeH="0" baseline="0" noProof="0">
                  <a:ln>
                    <a:noFill/>
                  </a:ln>
                  <a:solidFill>
                    <a:sysClr val="windowText" lastClr="000000"/>
                  </a:solidFill>
                  <a:effectLst/>
                  <a:uLnTx/>
                  <a:uFillTx/>
                  <a:latin typeface="+mn-lt"/>
                  <a:ea typeface="+mn-ea"/>
                  <a:cs typeface="+mn-cs"/>
                </a:rPr>
                <a:t> = </a:t>
              </a:r>
              <a14:m>
                <m:oMath xmlns:m="http://schemas.openxmlformats.org/officeDocument/2006/math">
                  <m:sSubSup>
                    <m:sSubSupPr>
                      <m:ctrlPr>
                        <a:rPr kumimoji="0" lang="de-DE" sz="2000" b="0" i="1" u="none" strike="noStrike" kern="1200" cap="none" spc="0" normalizeH="0" baseline="0" noProof="0">
                          <a:ln>
                            <a:noFill/>
                          </a:ln>
                          <a:solidFill>
                            <a:srgbClr val="00B050"/>
                          </a:solidFill>
                          <a:effectLst/>
                          <a:uLnTx/>
                          <a:uFillTx/>
                          <a:latin typeface="Cambria Math" panose="02040503050406030204" pitchFamily="18" charset="0"/>
                          <a:ea typeface="+mn-ea"/>
                          <a:cs typeface="+mn-cs"/>
                        </a:rPr>
                      </m:ctrlPr>
                    </m:sSubSupPr>
                    <m:e>
                      <m:r>
                        <a:rPr kumimoji="0" lang="de-DE" sz="2000" b="0" i="1" u="none" strike="noStrike" kern="1200" cap="none" spc="0" normalizeH="0" baseline="0" noProof="0">
                          <a:ln>
                            <a:noFill/>
                          </a:ln>
                          <a:solidFill>
                            <a:srgbClr val="00B050"/>
                          </a:solidFill>
                          <a:effectLst/>
                          <a:uLnTx/>
                          <a:uFillTx/>
                          <a:latin typeface="Cambria Math"/>
                          <a:ea typeface="+mn-ea"/>
                          <a:cs typeface="+mn-cs"/>
                        </a:rPr>
                        <m:t>𝑃</m:t>
                      </m:r>
                    </m:e>
                    <m:sub>
                      <m:r>
                        <a:rPr kumimoji="0" lang="de-DE" sz="2000" b="0" i="1" u="none" strike="noStrike" kern="1200" cap="none" spc="0" normalizeH="0" baseline="0" noProof="0">
                          <a:ln>
                            <a:noFill/>
                          </a:ln>
                          <a:solidFill>
                            <a:srgbClr val="00B050"/>
                          </a:solidFill>
                          <a:effectLst/>
                          <a:uLnTx/>
                          <a:uFillTx/>
                          <a:latin typeface="Cambria Math"/>
                          <a:ea typeface="+mn-ea"/>
                          <a:cs typeface="+mn-cs"/>
                        </a:rPr>
                        <m:t>𝑣</m:t>
                      </m:r>
                      <m:r>
                        <a:rPr kumimoji="0" lang="de-DE" sz="2000" b="0" i="1" u="none" strike="noStrike" kern="1200" cap="none" spc="0" normalizeH="0" baseline="0" noProof="0">
                          <a:ln>
                            <a:noFill/>
                          </a:ln>
                          <a:solidFill>
                            <a:srgbClr val="00B050"/>
                          </a:solidFill>
                          <a:effectLst/>
                          <a:uLnTx/>
                          <a:uFillTx/>
                          <a:latin typeface="Cambria Math"/>
                          <a:ea typeface="+mn-ea"/>
                          <a:cs typeface="+mn-cs"/>
                        </a:rPr>
                        <m:t>,</m:t>
                      </m:r>
                      <m:r>
                        <a:rPr kumimoji="0" lang="de-DE" sz="2000" b="0" i="1" u="none" strike="noStrike" kern="1200" cap="none" spc="0" normalizeH="0" baseline="0" noProof="0">
                          <a:ln>
                            <a:noFill/>
                          </a:ln>
                          <a:solidFill>
                            <a:srgbClr val="00B050"/>
                          </a:solidFill>
                          <a:effectLst/>
                          <a:uLnTx/>
                          <a:uFillTx/>
                          <a:latin typeface="Cambria Math"/>
                          <a:ea typeface="+mn-ea"/>
                          <a:cs typeface="+mn-cs"/>
                        </a:rPr>
                        <m:t>𝑡𝐸</m:t>
                      </m:r>
                    </m:sub>
                    <m:sup>
                      <m:r>
                        <a:rPr kumimoji="0" lang="de-DE" sz="2000" b="0" i="1" u="none" strike="noStrike" kern="1200" cap="none" spc="0" normalizeH="0" baseline="0" noProof="0">
                          <a:ln>
                            <a:noFill/>
                          </a:ln>
                          <a:solidFill>
                            <a:srgbClr val="00B050"/>
                          </a:solidFill>
                          <a:effectLst/>
                          <a:uLnTx/>
                          <a:uFillTx/>
                          <a:latin typeface="Cambria Math"/>
                          <a:ea typeface="+mn-ea"/>
                          <a:cs typeface="+mn-cs"/>
                        </a:rPr>
                        <m:t>𝑛𝐿</m:t>
                      </m:r>
                    </m:sup>
                  </m:sSubSup>
                </m:oMath>
              </a14:m>
              <a:r>
                <a:rPr kumimoji="0" lang="de-DE" sz="2000" b="0" i="1" u="none" strike="noStrike" kern="0" cap="none" spc="0" normalizeH="0" baseline="0" noProof="0">
                  <a:ln>
                    <a:noFill/>
                  </a:ln>
                  <a:solidFill>
                    <a:sysClr val="windowText" lastClr="000000"/>
                  </a:solidFill>
                  <a:effectLst/>
                  <a:uLnTx/>
                  <a:uFillTx/>
                  <a:latin typeface="+mn-lt"/>
                  <a:ea typeface="+mn-ea"/>
                  <a:cs typeface="+mn-cs"/>
                </a:rPr>
                <a:t> </a:t>
              </a:r>
              <a:endParaRPr lang="de-DE" sz="1100"/>
            </a:p>
          </xdr:txBody>
        </xdr:sp>
      </mc:Choice>
      <mc:Fallback xmlns="">
        <xdr:sp macro="" textlink="">
          <xdr:nvSpPr>
            <xdr:cNvPr id="52" name="Textfeld 51"/>
            <xdr:cNvSpPr txBox="1"/>
          </xdr:nvSpPr>
          <xdr:spPr>
            <a:xfrm>
              <a:off x="3524251" y="16830675"/>
              <a:ext cx="2200274" cy="495299"/>
            </a:xfrm>
            <a:prstGeom prst="rect">
              <a:avLst/>
            </a:prstGeom>
            <a:solidFill>
              <a:srgbClr val="F0F0F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0" lang="de-DE" sz="2000" b="0" i="1" u="none" strike="noStrike" kern="0" cap="none" spc="0" normalizeH="0" baseline="0" noProof="0">
                  <a:ln>
                    <a:noFill/>
                  </a:ln>
                  <a:solidFill>
                    <a:srgbClr val="FF0000"/>
                  </a:solidFill>
                  <a:effectLst/>
                  <a:uLnTx/>
                  <a:uFillTx/>
                  <a:latin typeface="+mn-lt"/>
                  <a:ea typeface="+mn-ea"/>
                  <a:cs typeface="+mn-cs"/>
                </a:rPr>
                <a:t>a</a:t>
              </a:r>
              <a:r>
                <a:rPr kumimoji="0" lang="de-DE" sz="2000" b="0" i="1" u="none" strike="noStrike" kern="0" cap="none" spc="0" normalizeH="0" baseline="30000" noProof="0">
                  <a:ln>
                    <a:noFill/>
                  </a:ln>
                  <a:solidFill>
                    <a:srgbClr val="FF0000"/>
                  </a:solidFill>
                  <a:effectLst/>
                  <a:uLnTx/>
                  <a:uFillTx/>
                  <a:latin typeface="+mn-lt"/>
                  <a:ea typeface="+mn-ea"/>
                  <a:cs typeface="+mn-cs"/>
                </a:rPr>
                <a:t>nL</a:t>
              </a:r>
              <a:r>
                <a:rPr kumimoji="0" lang="de-DE" sz="2000" b="0" i="1" u="none" strike="noStrike" kern="0" cap="none" spc="0" normalizeH="0" baseline="0" noProof="0">
                  <a:ln>
                    <a:noFill/>
                  </a:ln>
                  <a:solidFill>
                    <a:srgbClr val="FF0000"/>
                  </a:solidFill>
                  <a:effectLst/>
                  <a:uLnTx/>
                  <a:uFillTx/>
                  <a:latin typeface="+mn-lt"/>
                  <a:ea typeface="+mn-ea"/>
                  <a:cs typeface="+mn-cs"/>
                </a:rPr>
                <a:t> *</a:t>
              </a:r>
              <a:r>
                <a:rPr kumimoji="0" lang="de-DE" sz="2000" b="0" i="1" u="none" strike="noStrike" kern="0" cap="none" spc="0" normalizeH="0" baseline="0" noProof="0">
                  <a:ln>
                    <a:noFill/>
                  </a:ln>
                  <a:solidFill>
                    <a:srgbClr val="00B050"/>
                  </a:solidFill>
                  <a:effectLst/>
                  <a:uLnTx/>
                  <a:uFillTx/>
                  <a:latin typeface="+mn-lt"/>
                  <a:ea typeface="+mn-ea"/>
                  <a:cs typeface="+mn-cs"/>
                </a:rPr>
                <a:t> </a:t>
              </a:r>
              <a:r>
                <a:rPr kumimoji="0" lang="de-DE" sz="2000" b="0" i="0" u="none" strike="noStrike" kern="1200" cap="none" spc="0" normalizeH="0" baseline="0" noProof="0">
                  <a:ln>
                    <a:noFill/>
                  </a:ln>
                  <a:solidFill>
                    <a:srgbClr val="00B050"/>
                  </a:solidFill>
                  <a:effectLst/>
                  <a:uLnTx/>
                  <a:uFillTx/>
                  <a:latin typeface="Cambria Math"/>
                  <a:ea typeface="+mn-ea"/>
                  <a:cs typeface="+mn-cs"/>
                </a:rPr>
                <a:t>𝑃_𝑣^𝑛𝐿</a:t>
              </a:r>
              <a:r>
                <a:rPr kumimoji="0" lang="de-DE" sz="2000" b="0" i="1" u="none" strike="noStrike" kern="0" cap="none" spc="0" normalizeH="0" baseline="0" noProof="0">
                  <a:ln>
                    <a:noFill/>
                  </a:ln>
                  <a:solidFill>
                    <a:sysClr val="windowText" lastClr="000000"/>
                  </a:solidFill>
                  <a:effectLst/>
                  <a:uLnTx/>
                  <a:uFillTx/>
                  <a:latin typeface="+mn-lt"/>
                  <a:ea typeface="+mn-ea"/>
                  <a:cs typeface="+mn-cs"/>
                </a:rPr>
                <a:t> = </a:t>
              </a:r>
              <a:r>
                <a:rPr kumimoji="0" lang="de-DE" sz="2000" b="0" i="0" u="none" strike="noStrike" kern="1200" cap="none" spc="0" normalizeH="0" baseline="0" noProof="0">
                  <a:ln>
                    <a:noFill/>
                  </a:ln>
                  <a:solidFill>
                    <a:srgbClr val="00B050"/>
                  </a:solidFill>
                  <a:effectLst/>
                  <a:uLnTx/>
                  <a:uFillTx/>
                  <a:latin typeface="Cambria Math"/>
                  <a:ea typeface="+mn-ea"/>
                  <a:cs typeface="+mn-cs"/>
                </a:rPr>
                <a:t>𝑃_(𝑣,𝑡𝐸)^𝑛𝐿</a:t>
              </a:r>
              <a:r>
                <a:rPr kumimoji="0" lang="de-DE" sz="2000" b="0" i="1" u="none" strike="noStrike" kern="0" cap="none" spc="0" normalizeH="0" baseline="0" noProof="0">
                  <a:ln>
                    <a:noFill/>
                  </a:ln>
                  <a:solidFill>
                    <a:sysClr val="windowText" lastClr="000000"/>
                  </a:solidFill>
                  <a:effectLst/>
                  <a:uLnTx/>
                  <a:uFillTx/>
                  <a:latin typeface="+mn-lt"/>
                  <a:ea typeface="+mn-ea"/>
                  <a:cs typeface="+mn-cs"/>
                </a:rPr>
                <a:t> </a:t>
              </a:r>
              <a:endParaRPr lang="de-DE" sz="1100"/>
            </a:p>
          </xdr:txBody>
        </xdr:sp>
      </mc:Fallback>
    </mc:AlternateContent>
    <xdr:clientData/>
  </xdr:twoCellAnchor>
  <xdr:twoCellAnchor>
    <xdr:from>
      <xdr:col>7</xdr:col>
      <xdr:colOff>400051</xdr:colOff>
      <xdr:row>103</xdr:row>
      <xdr:rowOff>47625</xdr:rowOff>
    </xdr:from>
    <xdr:to>
      <xdr:col>7</xdr:col>
      <xdr:colOff>664845</xdr:colOff>
      <xdr:row>105</xdr:row>
      <xdr:rowOff>85725</xdr:rowOff>
    </xdr:to>
    <xdr:sp macro="" textlink="">
      <xdr:nvSpPr>
        <xdr:cNvPr id="53" name="Geschweifte Klammer links 52">
          <a:extLst>
            <a:ext uri="{FF2B5EF4-FFF2-40B4-BE49-F238E27FC236}">
              <a16:creationId xmlns:a16="http://schemas.microsoft.com/office/drawing/2014/main" id="{00000000-0008-0000-0C00-000035000000}"/>
            </a:ext>
          </a:extLst>
        </xdr:cNvPr>
        <xdr:cNvSpPr/>
      </xdr:nvSpPr>
      <xdr:spPr>
        <a:xfrm>
          <a:off x="5734051" y="16678275"/>
          <a:ext cx="264794" cy="361950"/>
        </a:xfrm>
        <a:prstGeom prst="leftBrace">
          <a:avLst>
            <a:gd name="adj1" fmla="val 8333"/>
            <a:gd name="adj2" fmla="val 52632"/>
          </a:avLst>
        </a:prstGeom>
        <a:ln w="19050">
          <a:solidFill>
            <a:schemeClr val="tx1">
              <a:lumMod val="50000"/>
              <a:lumOff val="50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de-DE" sz="1100"/>
        </a:p>
      </xdr:txBody>
    </xdr:sp>
    <xdr:clientData/>
  </xdr:twoCellAnchor>
  <xdr:twoCellAnchor>
    <xdr:from>
      <xdr:col>11</xdr:col>
      <xdr:colOff>685800</xdr:colOff>
      <xdr:row>98</xdr:row>
      <xdr:rowOff>47625</xdr:rowOff>
    </xdr:from>
    <xdr:to>
      <xdr:col>12</xdr:col>
      <xdr:colOff>95250</xdr:colOff>
      <xdr:row>99</xdr:row>
      <xdr:rowOff>142875</xdr:rowOff>
    </xdr:to>
    <xdr:sp macro="" textlink="">
      <xdr:nvSpPr>
        <xdr:cNvPr id="54" name="Geschweifte Klammer links 53">
          <a:extLst>
            <a:ext uri="{FF2B5EF4-FFF2-40B4-BE49-F238E27FC236}">
              <a16:creationId xmlns:a16="http://schemas.microsoft.com/office/drawing/2014/main" id="{00000000-0008-0000-0C00-000036000000}"/>
            </a:ext>
          </a:extLst>
        </xdr:cNvPr>
        <xdr:cNvSpPr/>
      </xdr:nvSpPr>
      <xdr:spPr>
        <a:xfrm>
          <a:off x="9067800" y="15868650"/>
          <a:ext cx="171450" cy="257175"/>
        </a:xfrm>
        <a:prstGeom prst="leftBrace">
          <a:avLst/>
        </a:prstGeom>
        <a:ln w="19050">
          <a:solidFill>
            <a:schemeClr val="tx1">
              <a:lumMod val="50000"/>
              <a:lumOff val="50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de-DE" sz="1100"/>
        </a:p>
      </xdr:txBody>
    </xdr:sp>
    <xdr:clientData/>
  </xdr:twoCellAnchor>
  <xdr:twoCellAnchor>
    <xdr:from>
      <xdr:col>4</xdr:col>
      <xdr:colOff>190500</xdr:colOff>
      <xdr:row>103</xdr:row>
      <xdr:rowOff>38100</xdr:rowOff>
    </xdr:from>
    <xdr:to>
      <xdr:col>7</xdr:col>
      <xdr:colOff>685800</xdr:colOff>
      <xdr:row>105</xdr:row>
      <xdr:rowOff>0</xdr:rowOff>
    </xdr:to>
    <xdr:cxnSp macro="">
      <xdr:nvCxnSpPr>
        <xdr:cNvPr id="20" name="Gerade Verbindung 19">
          <a:extLst>
            <a:ext uri="{FF2B5EF4-FFF2-40B4-BE49-F238E27FC236}">
              <a16:creationId xmlns:a16="http://schemas.microsoft.com/office/drawing/2014/main" id="{00000000-0008-0000-0C00-000014000000}"/>
            </a:ext>
          </a:extLst>
        </xdr:cNvPr>
        <xdr:cNvCxnSpPr/>
      </xdr:nvCxnSpPr>
      <xdr:spPr>
        <a:xfrm flipV="1">
          <a:off x="3238500" y="16668750"/>
          <a:ext cx="2781300" cy="285750"/>
        </a:xfrm>
        <a:prstGeom prst="line">
          <a:avLst/>
        </a:prstGeom>
        <a:ln w="19050">
          <a:solidFill>
            <a:schemeClr val="tx1">
              <a:lumMod val="50000"/>
              <a:lumOff val="50000"/>
            </a:schemeClr>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695325</xdr:colOff>
      <xdr:row>98</xdr:row>
      <xdr:rowOff>38100</xdr:rowOff>
    </xdr:from>
    <xdr:to>
      <xdr:col>12</xdr:col>
      <xdr:colOff>152400</xdr:colOff>
      <xdr:row>103</xdr:row>
      <xdr:rowOff>28575</xdr:rowOff>
    </xdr:to>
    <xdr:cxnSp macro="">
      <xdr:nvCxnSpPr>
        <xdr:cNvPr id="29" name="Gerade Verbindung 28">
          <a:extLst>
            <a:ext uri="{FF2B5EF4-FFF2-40B4-BE49-F238E27FC236}">
              <a16:creationId xmlns:a16="http://schemas.microsoft.com/office/drawing/2014/main" id="{00000000-0008-0000-0C00-00001D000000}"/>
            </a:ext>
          </a:extLst>
        </xdr:cNvPr>
        <xdr:cNvCxnSpPr/>
      </xdr:nvCxnSpPr>
      <xdr:spPr>
        <a:xfrm flipV="1">
          <a:off x="6029325" y="15859125"/>
          <a:ext cx="3267075" cy="800100"/>
        </a:xfrm>
        <a:prstGeom prst="line">
          <a:avLst/>
        </a:prstGeom>
        <a:ln w="19050">
          <a:solidFill>
            <a:schemeClr val="tx1">
              <a:lumMod val="50000"/>
              <a:lumOff val="50000"/>
            </a:schemeClr>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200025</xdr:colOff>
      <xdr:row>105</xdr:row>
      <xdr:rowOff>85725</xdr:rowOff>
    </xdr:from>
    <xdr:to>
      <xdr:col>7</xdr:col>
      <xdr:colOff>704850</xdr:colOff>
      <xdr:row>109</xdr:row>
      <xdr:rowOff>19050</xdr:rowOff>
    </xdr:to>
    <xdr:cxnSp macro="">
      <xdr:nvCxnSpPr>
        <xdr:cNvPr id="56" name="Gerade Verbindung 55">
          <a:extLst>
            <a:ext uri="{FF2B5EF4-FFF2-40B4-BE49-F238E27FC236}">
              <a16:creationId xmlns:a16="http://schemas.microsoft.com/office/drawing/2014/main" id="{00000000-0008-0000-0C00-000038000000}"/>
            </a:ext>
          </a:extLst>
        </xdr:cNvPr>
        <xdr:cNvCxnSpPr/>
      </xdr:nvCxnSpPr>
      <xdr:spPr>
        <a:xfrm flipV="1">
          <a:off x="3248025" y="17040225"/>
          <a:ext cx="2790825" cy="581025"/>
        </a:xfrm>
        <a:prstGeom prst="line">
          <a:avLst/>
        </a:prstGeom>
        <a:ln w="19050">
          <a:solidFill>
            <a:schemeClr val="tx1">
              <a:lumMod val="50000"/>
              <a:lumOff val="50000"/>
            </a:schemeClr>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704850</xdr:colOff>
      <xdr:row>99</xdr:row>
      <xdr:rowOff>152400</xdr:rowOff>
    </xdr:from>
    <xdr:to>
      <xdr:col>12</xdr:col>
      <xdr:colOff>171450</xdr:colOff>
      <xdr:row>105</xdr:row>
      <xdr:rowOff>76201</xdr:rowOff>
    </xdr:to>
    <xdr:cxnSp macro="">
      <xdr:nvCxnSpPr>
        <xdr:cNvPr id="57" name="Gerade Verbindung 56">
          <a:extLst>
            <a:ext uri="{FF2B5EF4-FFF2-40B4-BE49-F238E27FC236}">
              <a16:creationId xmlns:a16="http://schemas.microsoft.com/office/drawing/2014/main" id="{00000000-0008-0000-0C00-000039000000}"/>
            </a:ext>
          </a:extLst>
        </xdr:cNvPr>
        <xdr:cNvCxnSpPr/>
      </xdr:nvCxnSpPr>
      <xdr:spPr>
        <a:xfrm flipV="1">
          <a:off x="6038850" y="16135350"/>
          <a:ext cx="3276600" cy="895351"/>
        </a:xfrm>
        <a:prstGeom prst="line">
          <a:avLst/>
        </a:prstGeom>
        <a:ln w="19050">
          <a:solidFill>
            <a:schemeClr val="tx1">
              <a:lumMod val="50000"/>
              <a:lumOff val="50000"/>
            </a:schemeClr>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495300</xdr:colOff>
      <xdr:row>89</xdr:row>
      <xdr:rowOff>0</xdr:rowOff>
    </xdr:from>
    <xdr:to>
      <xdr:col>3</xdr:col>
      <xdr:colOff>381372</xdr:colOff>
      <xdr:row>91</xdr:row>
      <xdr:rowOff>116655</xdr:rowOff>
    </xdr:to>
    <mc:AlternateContent xmlns:mc="http://schemas.openxmlformats.org/markup-compatibility/2006" xmlns:a14="http://schemas.microsoft.com/office/drawing/2010/main">
      <mc:Choice Requires="a14">
        <xdr:sp macro="" textlink="">
          <xdr:nvSpPr>
            <xdr:cNvPr id="4" name="Textfeld 8">
              <a:extLst>
                <a:ext uri="{FF2B5EF4-FFF2-40B4-BE49-F238E27FC236}">
                  <a16:creationId xmlns:a16="http://schemas.microsoft.com/office/drawing/2014/main" id="{00000000-0008-0000-0C00-000004000000}"/>
                </a:ext>
              </a:extLst>
            </xdr:cNvPr>
            <xdr:cNvSpPr txBox="1"/>
          </xdr:nvSpPr>
          <xdr:spPr>
            <a:xfrm>
              <a:off x="2019300" y="14363700"/>
              <a:ext cx="648072" cy="440505"/>
            </a:xfrm>
            <a:prstGeom prst="rect">
              <a:avLst/>
            </a:prstGeom>
            <a:solidFill>
              <a:srgbClr val="F0F0F0"/>
            </a:solidFill>
          </xdr:spPr>
          <xdr:txBody>
            <a:bodyPr wrap="square" rtlCol="0">
              <a:spAutoFit/>
            </a:bodyPr>
            <a:lstStyle>
              <a:defPPr>
                <a:defRPr lang="de-DE"/>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14:m>
                <m:oMathPara xmlns:m="http://schemas.openxmlformats.org/officeDocument/2006/math">
                  <m:oMathParaPr>
                    <m:jc m:val="centerGroup"/>
                  </m:oMathParaPr>
                  <m:oMath xmlns:m="http://schemas.openxmlformats.org/officeDocument/2006/math">
                    <m:sSubSup>
                      <m:sSubSupPr>
                        <m:ctrlPr>
                          <a:rPr kumimoji="0" lang="de-DE" sz="2000" b="0" i="1" u="none" strike="noStrike" kern="1200" cap="none" spc="0" normalizeH="0" baseline="0" noProof="0">
                            <a:ln>
                              <a:noFill/>
                            </a:ln>
                            <a:solidFill>
                              <a:srgbClr val="00B050"/>
                            </a:solidFill>
                            <a:effectLst/>
                            <a:uLnTx/>
                            <a:uFillTx/>
                            <a:latin typeface="Cambria Math" panose="02040503050406030204" pitchFamily="18" charset="0"/>
                            <a:ea typeface="+mn-ea"/>
                            <a:cs typeface="+mn-cs"/>
                          </a:rPr>
                        </m:ctrlPr>
                      </m:sSubSupPr>
                      <m:e>
                        <m:r>
                          <a:rPr kumimoji="0" lang="de-DE" sz="2000" b="0" i="1" u="none" strike="noStrike" kern="1200" cap="none" spc="0" normalizeH="0" baseline="0" noProof="0">
                            <a:ln>
                              <a:noFill/>
                            </a:ln>
                            <a:solidFill>
                              <a:srgbClr val="00B050"/>
                            </a:solidFill>
                            <a:effectLst/>
                            <a:uLnTx/>
                            <a:uFillTx/>
                            <a:latin typeface="Cambria Math"/>
                            <a:ea typeface="+mn-ea"/>
                            <a:cs typeface="+mn-cs"/>
                          </a:rPr>
                          <m:t>𝑃</m:t>
                        </m:r>
                      </m:e>
                      <m:sub>
                        <m:r>
                          <a:rPr kumimoji="0" lang="de-DE" sz="2000" b="0" i="1" u="none" strike="noStrike" kern="1200" cap="none" spc="0" normalizeH="0" baseline="0" noProof="0">
                            <a:ln>
                              <a:noFill/>
                            </a:ln>
                            <a:solidFill>
                              <a:srgbClr val="00B050"/>
                            </a:solidFill>
                            <a:effectLst/>
                            <a:uLnTx/>
                            <a:uFillTx/>
                            <a:latin typeface="Cambria Math"/>
                            <a:ea typeface="+mn-ea"/>
                            <a:cs typeface="+mn-cs"/>
                          </a:rPr>
                          <m:t>𝑖</m:t>
                        </m:r>
                        <m:r>
                          <a:rPr kumimoji="0" lang="de-DE" sz="2000" b="0" i="1" u="none" strike="noStrike" kern="1200" cap="none" spc="0" normalizeH="0" baseline="0" noProof="0">
                            <a:ln>
                              <a:noFill/>
                            </a:ln>
                            <a:solidFill>
                              <a:srgbClr val="00B050"/>
                            </a:solidFill>
                            <a:effectLst/>
                            <a:uLnTx/>
                            <a:uFillTx/>
                            <a:latin typeface="Cambria Math"/>
                            <a:ea typeface="+mn-ea"/>
                            <a:cs typeface="+mn-cs"/>
                          </a:rPr>
                          <m:t>,</m:t>
                        </m:r>
                        <m:r>
                          <a:rPr kumimoji="0" lang="de-DE" sz="2000" b="0" i="1" u="none" strike="noStrike" kern="1200" cap="none" spc="0" normalizeH="0" baseline="0" noProof="0">
                            <a:ln>
                              <a:noFill/>
                            </a:ln>
                            <a:solidFill>
                              <a:srgbClr val="00B050"/>
                            </a:solidFill>
                            <a:effectLst/>
                            <a:uLnTx/>
                            <a:uFillTx/>
                            <a:latin typeface="Cambria Math"/>
                            <a:ea typeface="+mn-ea"/>
                            <a:cs typeface="+mn-cs"/>
                          </a:rPr>
                          <m:t>𝑡𝐸</m:t>
                        </m:r>
                      </m:sub>
                      <m:sup>
                        <m:r>
                          <a:rPr kumimoji="0" lang="de-DE" sz="2000" b="0" i="1" u="none" strike="noStrike" kern="1200" cap="none" spc="0" normalizeH="0" baseline="0" noProof="0">
                            <a:ln>
                              <a:noFill/>
                            </a:ln>
                            <a:solidFill>
                              <a:srgbClr val="00B050"/>
                            </a:solidFill>
                            <a:effectLst/>
                            <a:uLnTx/>
                            <a:uFillTx/>
                            <a:latin typeface="Cambria Math"/>
                            <a:ea typeface="+mn-ea"/>
                            <a:cs typeface="+mn-cs"/>
                          </a:rPr>
                          <m:t>𝐿</m:t>
                        </m:r>
                      </m:sup>
                    </m:sSubSup>
                  </m:oMath>
                </m:oMathPara>
              </a14:m>
              <a:endParaRPr lang="de-DE" sz="2000">
                <a:latin typeface="+mn-lt"/>
              </a:endParaRPr>
            </a:p>
          </xdr:txBody>
        </xdr:sp>
      </mc:Choice>
      <mc:Fallback xmlns="">
        <xdr:sp macro="" textlink="">
          <xdr:nvSpPr>
            <xdr:cNvPr id="4" name="Textfeld 8"/>
            <xdr:cNvSpPr txBox="1"/>
          </xdr:nvSpPr>
          <xdr:spPr>
            <a:xfrm>
              <a:off x="2019300" y="14363700"/>
              <a:ext cx="648072" cy="440505"/>
            </a:xfrm>
            <a:prstGeom prst="rect">
              <a:avLst/>
            </a:prstGeom>
            <a:solidFill>
              <a:srgbClr val="F0F0F0"/>
            </a:solidFill>
          </xdr:spPr>
          <xdr:txBody>
            <a:bodyPr wrap="square" rtlCol="0">
              <a:spAutoFit/>
            </a:bodyPr>
            <a:lstStyle>
              <a:defPPr>
                <a:defRPr lang="de-DE"/>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r>
                <a:rPr kumimoji="0" lang="de-DE" sz="2000" b="0" i="0" u="none" strike="noStrike" kern="1200" cap="none" spc="0" normalizeH="0" baseline="0" noProof="0">
                  <a:ln>
                    <a:noFill/>
                  </a:ln>
                  <a:solidFill>
                    <a:srgbClr val="00B050"/>
                  </a:solidFill>
                  <a:effectLst/>
                  <a:uLnTx/>
                  <a:uFillTx/>
                  <a:latin typeface="Cambria Math"/>
                  <a:ea typeface="+mn-ea"/>
                  <a:cs typeface="+mn-cs"/>
                </a:rPr>
                <a:t>𝑃_(𝑖,𝑡𝐸)^𝐿</a:t>
              </a:r>
              <a:endParaRPr lang="de-DE" sz="2000">
                <a:latin typeface="+mn-lt"/>
              </a:endParaRPr>
            </a:p>
          </xdr:txBody>
        </xdr:sp>
      </mc:Fallback>
    </mc:AlternateContent>
    <xdr:clientData/>
  </xdr:twoCellAnchor>
  <xdr:twoCellAnchor>
    <xdr:from>
      <xdr:col>2</xdr:col>
      <xdr:colOff>638175</xdr:colOff>
      <xdr:row>99</xdr:row>
      <xdr:rowOff>19050</xdr:rowOff>
    </xdr:from>
    <xdr:to>
      <xdr:col>3</xdr:col>
      <xdr:colOff>524247</xdr:colOff>
      <xdr:row>101</xdr:row>
      <xdr:rowOff>115123</xdr:rowOff>
    </xdr:to>
    <mc:AlternateContent xmlns:mc="http://schemas.openxmlformats.org/markup-compatibility/2006" xmlns:a14="http://schemas.microsoft.com/office/drawing/2010/main">
      <mc:Choice Requires="a14">
        <xdr:sp macro="" textlink="">
          <xdr:nvSpPr>
            <xdr:cNvPr id="59" name="Textfeld 8">
              <a:extLst>
                <a:ext uri="{FF2B5EF4-FFF2-40B4-BE49-F238E27FC236}">
                  <a16:creationId xmlns:a16="http://schemas.microsoft.com/office/drawing/2014/main" id="{00000000-0008-0000-0C00-00003B000000}"/>
                </a:ext>
              </a:extLst>
            </xdr:cNvPr>
            <xdr:cNvSpPr txBox="1"/>
          </xdr:nvSpPr>
          <xdr:spPr>
            <a:xfrm>
              <a:off x="2162175" y="16002000"/>
              <a:ext cx="648072" cy="419923"/>
            </a:xfrm>
            <a:prstGeom prst="rect">
              <a:avLst/>
            </a:prstGeom>
            <a:solidFill>
              <a:srgbClr val="F0F0F0"/>
            </a:solidFill>
          </xdr:spPr>
          <xdr:txBody>
            <a:bodyPr wrap="square" rtlCol="0">
              <a:spAutoFit/>
            </a:bodyPr>
            <a:lstStyle>
              <a:defPPr>
                <a:defRPr lang="de-DE"/>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14:m>
                <m:oMathPara xmlns:m="http://schemas.openxmlformats.org/officeDocument/2006/math">
                  <m:oMathParaPr>
                    <m:jc m:val="centerGroup"/>
                  </m:oMathParaPr>
                  <m:oMath xmlns:m="http://schemas.openxmlformats.org/officeDocument/2006/math">
                    <m:sSubSup>
                      <m:sSubSupPr>
                        <m:ctrlPr>
                          <a:rPr kumimoji="0" lang="de-DE" sz="2000" b="0" i="1" u="none" strike="noStrike" kern="1200" cap="none" spc="0" normalizeH="0" baseline="0" noProof="0">
                            <a:ln>
                              <a:noFill/>
                            </a:ln>
                            <a:solidFill>
                              <a:srgbClr val="00B050"/>
                            </a:solidFill>
                            <a:effectLst/>
                            <a:uLnTx/>
                            <a:uFillTx/>
                            <a:latin typeface="Cambria Math" panose="02040503050406030204" pitchFamily="18" charset="0"/>
                            <a:ea typeface="+mn-ea"/>
                            <a:cs typeface="+mn-cs"/>
                          </a:rPr>
                        </m:ctrlPr>
                      </m:sSubSupPr>
                      <m:e>
                        <m:r>
                          <a:rPr kumimoji="0" lang="de-DE" sz="2000" b="0" i="1" u="none" strike="noStrike" kern="1200" cap="none" spc="0" normalizeH="0" baseline="0" noProof="0">
                            <a:ln>
                              <a:noFill/>
                            </a:ln>
                            <a:solidFill>
                              <a:srgbClr val="00B050"/>
                            </a:solidFill>
                            <a:effectLst/>
                            <a:uLnTx/>
                            <a:uFillTx/>
                            <a:latin typeface="Cambria Math"/>
                            <a:ea typeface="+mn-ea"/>
                            <a:cs typeface="+mn-cs"/>
                          </a:rPr>
                          <m:t>𝑃</m:t>
                        </m:r>
                      </m:e>
                      <m:sub>
                        <m:r>
                          <a:rPr kumimoji="0" lang="de-DE" sz="2000" b="0" i="1" u="none" strike="noStrike" kern="1200" cap="none" spc="0" normalizeH="0" baseline="0" noProof="0">
                            <a:ln>
                              <a:noFill/>
                            </a:ln>
                            <a:solidFill>
                              <a:srgbClr val="00B050"/>
                            </a:solidFill>
                            <a:effectLst/>
                            <a:uLnTx/>
                            <a:uFillTx/>
                            <a:latin typeface="Cambria Math"/>
                            <a:ea typeface="+mn-ea"/>
                            <a:cs typeface="+mn-cs"/>
                          </a:rPr>
                          <m:t>𝑣</m:t>
                        </m:r>
                      </m:sub>
                      <m:sup>
                        <m:r>
                          <a:rPr kumimoji="0" lang="de-DE" sz="2000" b="0" i="1" u="none" strike="noStrike" kern="1200" cap="none" spc="0" normalizeH="0" baseline="0" noProof="0">
                            <a:ln>
                              <a:noFill/>
                            </a:ln>
                            <a:solidFill>
                              <a:srgbClr val="00B050"/>
                            </a:solidFill>
                            <a:effectLst/>
                            <a:uLnTx/>
                            <a:uFillTx/>
                            <a:latin typeface="Cambria Math"/>
                            <a:ea typeface="+mn-ea"/>
                            <a:cs typeface="+mn-cs"/>
                          </a:rPr>
                          <m:t>𝐿</m:t>
                        </m:r>
                      </m:sup>
                    </m:sSubSup>
                  </m:oMath>
                </m:oMathPara>
              </a14:m>
              <a:endParaRPr lang="de-DE" sz="2000">
                <a:latin typeface="+mn-lt"/>
              </a:endParaRPr>
            </a:p>
          </xdr:txBody>
        </xdr:sp>
      </mc:Choice>
      <mc:Fallback xmlns="">
        <xdr:sp macro="" textlink="">
          <xdr:nvSpPr>
            <xdr:cNvPr id="59" name="Textfeld 8"/>
            <xdr:cNvSpPr txBox="1"/>
          </xdr:nvSpPr>
          <xdr:spPr>
            <a:xfrm>
              <a:off x="2162175" y="16002000"/>
              <a:ext cx="648072" cy="419923"/>
            </a:xfrm>
            <a:prstGeom prst="rect">
              <a:avLst/>
            </a:prstGeom>
            <a:solidFill>
              <a:srgbClr val="F0F0F0"/>
            </a:solidFill>
          </xdr:spPr>
          <xdr:txBody>
            <a:bodyPr wrap="square" rtlCol="0">
              <a:spAutoFit/>
            </a:bodyPr>
            <a:lstStyle>
              <a:defPPr>
                <a:defRPr lang="de-DE"/>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r>
                <a:rPr kumimoji="0" lang="de-DE" sz="2000" b="0" i="0" u="none" strike="noStrike" kern="1200" cap="none" spc="0" normalizeH="0" baseline="0" noProof="0">
                  <a:ln>
                    <a:noFill/>
                  </a:ln>
                  <a:solidFill>
                    <a:srgbClr val="00B050"/>
                  </a:solidFill>
                  <a:effectLst/>
                  <a:uLnTx/>
                  <a:uFillTx/>
                  <a:latin typeface="Cambria Math"/>
                  <a:ea typeface="+mn-ea"/>
                  <a:cs typeface="+mn-cs"/>
                </a:rPr>
                <a:t>𝑃_𝑣^𝐿</a:t>
              </a:r>
              <a:endParaRPr lang="de-DE" sz="2000">
                <a:latin typeface="+mn-lt"/>
              </a:endParaRPr>
            </a:p>
          </xdr:txBody>
        </xdr:sp>
      </mc:Fallback>
    </mc:AlternateContent>
    <xdr:clientData/>
  </xdr:twoCellAnchor>
  <xdr:twoCellAnchor>
    <xdr:from>
      <xdr:col>2</xdr:col>
      <xdr:colOff>723900</xdr:colOff>
      <xdr:row>106</xdr:row>
      <xdr:rowOff>38100</xdr:rowOff>
    </xdr:from>
    <xdr:to>
      <xdr:col>3</xdr:col>
      <xdr:colOff>609972</xdr:colOff>
      <xdr:row>108</xdr:row>
      <xdr:rowOff>134173</xdr:rowOff>
    </xdr:to>
    <mc:AlternateContent xmlns:mc="http://schemas.openxmlformats.org/markup-compatibility/2006" xmlns:a14="http://schemas.microsoft.com/office/drawing/2010/main">
      <mc:Choice Requires="a14">
        <xdr:sp macro="" textlink="">
          <xdr:nvSpPr>
            <xdr:cNvPr id="60" name="Textfeld 8">
              <a:extLst>
                <a:ext uri="{FF2B5EF4-FFF2-40B4-BE49-F238E27FC236}">
                  <a16:creationId xmlns:a16="http://schemas.microsoft.com/office/drawing/2014/main" id="{00000000-0008-0000-0C00-00003C000000}"/>
                </a:ext>
              </a:extLst>
            </xdr:cNvPr>
            <xdr:cNvSpPr txBox="1"/>
          </xdr:nvSpPr>
          <xdr:spPr>
            <a:xfrm>
              <a:off x="2247900" y="17154525"/>
              <a:ext cx="648072" cy="419923"/>
            </a:xfrm>
            <a:prstGeom prst="rect">
              <a:avLst/>
            </a:prstGeom>
            <a:solidFill>
              <a:srgbClr val="F0F0F0"/>
            </a:solidFill>
          </xdr:spPr>
          <xdr:txBody>
            <a:bodyPr wrap="square" rtlCol="0">
              <a:spAutoFit/>
            </a:bodyPr>
            <a:lstStyle>
              <a:defPPr>
                <a:defRPr lang="de-DE"/>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14:m>
                <m:oMathPara xmlns:m="http://schemas.openxmlformats.org/officeDocument/2006/math">
                  <m:oMathParaPr>
                    <m:jc m:val="centerGroup"/>
                  </m:oMathParaPr>
                  <m:oMath xmlns:m="http://schemas.openxmlformats.org/officeDocument/2006/math">
                    <m:sSubSup>
                      <m:sSubSupPr>
                        <m:ctrlPr>
                          <a:rPr kumimoji="0" lang="de-DE" sz="2000" b="0" i="1" u="none" strike="noStrike" kern="1200" cap="none" spc="0" normalizeH="0" baseline="0" noProof="0">
                            <a:ln>
                              <a:noFill/>
                            </a:ln>
                            <a:solidFill>
                              <a:srgbClr val="00B050"/>
                            </a:solidFill>
                            <a:effectLst/>
                            <a:uLnTx/>
                            <a:uFillTx/>
                            <a:latin typeface="Cambria Math" panose="02040503050406030204" pitchFamily="18" charset="0"/>
                            <a:ea typeface="+mn-ea"/>
                            <a:cs typeface="+mn-cs"/>
                          </a:rPr>
                        </m:ctrlPr>
                      </m:sSubSupPr>
                      <m:e>
                        <m:r>
                          <a:rPr kumimoji="0" lang="de-DE" sz="2000" b="0" i="1" u="none" strike="noStrike" kern="1200" cap="none" spc="0" normalizeH="0" baseline="0" noProof="0">
                            <a:ln>
                              <a:noFill/>
                            </a:ln>
                            <a:solidFill>
                              <a:srgbClr val="00B050"/>
                            </a:solidFill>
                            <a:effectLst/>
                            <a:uLnTx/>
                            <a:uFillTx/>
                            <a:latin typeface="Cambria Math"/>
                            <a:ea typeface="+mn-ea"/>
                            <a:cs typeface="+mn-cs"/>
                          </a:rPr>
                          <m:t>𝑃</m:t>
                        </m:r>
                      </m:e>
                      <m:sub>
                        <m:r>
                          <a:rPr kumimoji="0" lang="de-DE" sz="2000" b="0" i="1" u="none" strike="noStrike" kern="1200" cap="none" spc="0" normalizeH="0" baseline="0" noProof="0">
                            <a:ln>
                              <a:noFill/>
                            </a:ln>
                            <a:solidFill>
                              <a:srgbClr val="00B050"/>
                            </a:solidFill>
                            <a:effectLst/>
                            <a:uLnTx/>
                            <a:uFillTx/>
                            <a:latin typeface="Cambria Math"/>
                            <a:ea typeface="+mn-ea"/>
                            <a:cs typeface="+mn-cs"/>
                          </a:rPr>
                          <m:t>𝑣</m:t>
                        </m:r>
                      </m:sub>
                      <m:sup>
                        <m:r>
                          <a:rPr kumimoji="0" lang="de-DE" sz="2000" b="0" i="1" u="none" strike="noStrike" kern="1200" cap="none" spc="0" normalizeH="0" baseline="0" noProof="0">
                            <a:ln>
                              <a:noFill/>
                            </a:ln>
                            <a:solidFill>
                              <a:srgbClr val="00B050"/>
                            </a:solidFill>
                            <a:effectLst/>
                            <a:uLnTx/>
                            <a:uFillTx/>
                            <a:latin typeface="Cambria Math"/>
                            <a:ea typeface="+mn-ea"/>
                            <a:cs typeface="+mn-cs"/>
                          </a:rPr>
                          <m:t>𝑛𝐿</m:t>
                        </m:r>
                      </m:sup>
                    </m:sSubSup>
                  </m:oMath>
                </m:oMathPara>
              </a14:m>
              <a:endParaRPr lang="de-DE" sz="2000">
                <a:latin typeface="+mn-lt"/>
              </a:endParaRPr>
            </a:p>
          </xdr:txBody>
        </xdr:sp>
      </mc:Choice>
      <mc:Fallback xmlns="">
        <xdr:sp macro="" textlink="">
          <xdr:nvSpPr>
            <xdr:cNvPr id="60" name="Textfeld 8"/>
            <xdr:cNvSpPr txBox="1"/>
          </xdr:nvSpPr>
          <xdr:spPr>
            <a:xfrm>
              <a:off x="2247900" y="17154525"/>
              <a:ext cx="648072" cy="419923"/>
            </a:xfrm>
            <a:prstGeom prst="rect">
              <a:avLst/>
            </a:prstGeom>
            <a:solidFill>
              <a:srgbClr val="F0F0F0"/>
            </a:solidFill>
          </xdr:spPr>
          <xdr:txBody>
            <a:bodyPr wrap="square" rtlCol="0">
              <a:spAutoFit/>
            </a:bodyPr>
            <a:lstStyle>
              <a:defPPr>
                <a:defRPr lang="de-DE"/>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r>
                <a:rPr kumimoji="0" lang="de-DE" sz="2000" b="0" i="0" u="none" strike="noStrike" kern="1200" cap="none" spc="0" normalizeH="0" baseline="0" noProof="0">
                  <a:ln>
                    <a:noFill/>
                  </a:ln>
                  <a:solidFill>
                    <a:srgbClr val="00B050"/>
                  </a:solidFill>
                  <a:effectLst/>
                  <a:uLnTx/>
                  <a:uFillTx/>
                  <a:latin typeface="Cambria Math"/>
                  <a:ea typeface="+mn-ea"/>
                  <a:cs typeface="+mn-cs"/>
                </a:rPr>
                <a:t>𝑃_𝑣^𝑛𝐿</a:t>
              </a:r>
              <a:endParaRPr lang="de-DE" sz="2000">
                <a:latin typeface="+mn-lt"/>
              </a:endParaRPr>
            </a:p>
          </xdr:txBody>
        </xdr:sp>
      </mc:Fallback>
    </mc:AlternateContent>
    <xdr:clientData/>
  </xdr:twoCellAnchor>
  <xdr:twoCellAnchor>
    <xdr:from>
      <xdr:col>8</xdr:col>
      <xdr:colOff>733424</xdr:colOff>
      <xdr:row>104</xdr:row>
      <xdr:rowOff>76201</xdr:rowOff>
    </xdr:from>
    <xdr:to>
      <xdr:col>15</xdr:col>
      <xdr:colOff>542925</xdr:colOff>
      <xdr:row>109</xdr:row>
      <xdr:rowOff>66676</xdr:rowOff>
    </xdr:to>
    <mc:AlternateContent xmlns:mc="http://schemas.openxmlformats.org/markup-compatibility/2006" xmlns:a14="http://schemas.microsoft.com/office/drawing/2010/main">
      <mc:Choice Requires="a14">
        <xdr:sp macro="" textlink="">
          <xdr:nvSpPr>
            <xdr:cNvPr id="51" name="Textfeld 6">
              <a:extLst>
                <a:ext uri="{FF2B5EF4-FFF2-40B4-BE49-F238E27FC236}">
                  <a16:creationId xmlns:a16="http://schemas.microsoft.com/office/drawing/2014/main" id="{00000000-0008-0000-0C00-000033000000}"/>
                </a:ext>
              </a:extLst>
            </xdr:cNvPr>
            <xdr:cNvSpPr txBox="1"/>
          </xdr:nvSpPr>
          <xdr:spPr>
            <a:xfrm>
              <a:off x="6829424" y="16868776"/>
              <a:ext cx="5143501" cy="800100"/>
            </a:xfrm>
            <a:prstGeom prst="rect">
              <a:avLst/>
            </a:prstGeom>
            <a:noFill/>
          </xdr:spPr>
          <xdr:txBody>
            <a:bodyPr wrap="square" rtlCol="0">
              <a:noAutofit/>
            </a:bodyPr>
            <a:lstStyle>
              <a:defPPr>
                <a:defRPr lang="de-DE"/>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a:r>
                <a:rPr lang="de-DE" sz="2000" b="1" u="sng">
                  <a:latin typeface="+mn-lt"/>
                </a:rPr>
                <a:t>VDN: </a:t>
              </a:r>
              <a:r>
                <a:rPr lang="de-DE" sz="2000" b="1" i="1" u="sng">
                  <a:latin typeface="+mn-lt"/>
                </a:rPr>
                <a:t>Ein</a:t>
              </a:r>
              <a:r>
                <a:rPr lang="de-DE" sz="2000" b="1" u="sng">
                  <a:latin typeface="+mn-lt"/>
                </a:rPr>
                <a:t> Anteilsfaktor</a:t>
              </a:r>
              <a:r>
                <a:rPr lang="de-DE" sz="2000" u="sng">
                  <a:latin typeface="+mn-lt"/>
                </a:rPr>
                <a:t> verstetigte Leistung (</a:t>
              </a:r>
              <a:r>
                <a:rPr lang="de-DE" sz="2000" i="1" u="sng" baseline="0">
                  <a:solidFill>
                    <a:srgbClr val="FF0000"/>
                  </a:solidFill>
                  <a:latin typeface="+mn-lt"/>
                </a:rPr>
                <a:t>a</a:t>
              </a:r>
              <a:r>
                <a:rPr lang="de-DE" sz="2000" u="sng">
                  <a:latin typeface="+mn-lt"/>
                </a:rPr>
                <a:t>)</a:t>
              </a:r>
            </a:p>
            <a:p>
              <a:pPr marL="0" marR="0" indent="0" algn="ctr" defTabSz="914400" rtl="0" eaLnBrk="1" fontAlgn="base" latinLnBrk="0" hangingPunct="1">
                <a:lnSpc>
                  <a:spcPct val="100000"/>
                </a:lnSpc>
                <a:spcBef>
                  <a:spcPct val="0"/>
                </a:spcBef>
                <a:spcAft>
                  <a:spcPct val="0"/>
                </a:spcAft>
                <a:buClrTx/>
                <a:buSzTx/>
                <a:buFontTx/>
                <a:buNone/>
                <a:tabLst/>
                <a:defRPr/>
              </a:pPr>
              <a14:m>
                <m:oMath xmlns:m="http://schemas.openxmlformats.org/officeDocument/2006/math">
                  <m:r>
                    <a:rPr kumimoji="0" lang="de-DE" sz="2000" b="0" i="1" u="none" strike="noStrike" kern="1200" cap="none" spc="0" normalizeH="0" baseline="0">
                      <a:ln>
                        <a:noFill/>
                      </a:ln>
                      <a:solidFill>
                        <a:srgbClr val="00B050"/>
                      </a:solidFill>
                      <a:effectLst/>
                      <a:uLnTx/>
                      <a:uFillTx/>
                      <a:latin typeface="Cambria Math"/>
                      <a:ea typeface="+mn-ea"/>
                      <a:cs typeface="+mn-cs"/>
                    </a:rPr>
                    <m:t>(</m:t>
                  </m:r>
                  <m:sSubSup>
                    <m:sSubSupPr>
                      <m:ctrlPr>
                        <a:rPr kumimoji="0" lang="de-DE" sz="2000" b="0" i="1" u="none" strike="noStrike" kern="1200" cap="none" spc="0" normalizeH="0" baseline="0">
                          <a:ln>
                            <a:noFill/>
                          </a:ln>
                          <a:solidFill>
                            <a:srgbClr val="00B050"/>
                          </a:solidFill>
                          <a:effectLst/>
                          <a:uLnTx/>
                          <a:uFillTx/>
                          <a:latin typeface="Cambria Math" panose="02040503050406030204" pitchFamily="18" charset="0"/>
                          <a:ea typeface="+mn-ea"/>
                          <a:cs typeface="+mn-cs"/>
                        </a:rPr>
                      </m:ctrlPr>
                    </m:sSubSupPr>
                    <m:e>
                      <m:r>
                        <a:rPr kumimoji="0" lang="de-DE" sz="2000" b="0" i="1" u="none" strike="noStrike" kern="1200" cap="none" spc="0" normalizeH="0" baseline="0">
                          <a:ln>
                            <a:noFill/>
                          </a:ln>
                          <a:solidFill>
                            <a:srgbClr val="00B050"/>
                          </a:solidFill>
                          <a:effectLst/>
                          <a:uLnTx/>
                          <a:uFillTx/>
                          <a:latin typeface="Cambria Math"/>
                          <a:ea typeface="+mn-ea"/>
                          <a:cs typeface="+mn-cs"/>
                        </a:rPr>
                        <m:t>𝑃</m:t>
                      </m:r>
                    </m:e>
                    <m:sub>
                      <m:r>
                        <a:rPr kumimoji="0" lang="de-DE" sz="2000" b="0" i="1" u="none" strike="noStrike" kern="1200" cap="none" spc="0" normalizeH="0" baseline="0">
                          <a:ln>
                            <a:noFill/>
                          </a:ln>
                          <a:solidFill>
                            <a:srgbClr val="00B050"/>
                          </a:solidFill>
                          <a:effectLst/>
                          <a:uLnTx/>
                          <a:uFillTx/>
                          <a:latin typeface="Cambria Math"/>
                          <a:ea typeface="+mn-ea"/>
                          <a:cs typeface="+mn-cs"/>
                        </a:rPr>
                        <m:t>𝑣</m:t>
                      </m:r>
                    </m:sub>
                    <m:sup>
                      <m:r>
                        <a:rPr kumimoji="0" lang="de-DE" sz="2000" b="0" i="1" u="none" strike="noStrike" kern="1200" cap="none" spc="0" normalizeH="0" baseline="0">
                          <a:ln>
                            <a:noFill/>
                          </a:ln>
                          <a:solidFill>
                            <a:srgbClr val="00B050"/>
                          </a:solidFill>
                          <a:effectLst/>
                          <a:uLnTx/>
                          <a:uFillTx/>
                          <a:latin typeface="Cambria Math"/>
                          <a:ea typeface="+mn-ea"/>
                          <a:cs typeface="+mn-cs"/>
                        </a:rPr>
                        <m:t>𝐿</m:t>
                      </m:r>
                    </m:sup>
                  </m:sSubSup>
                  <m:r>
                    <a:rPr kumimoji="0" lang="de-DE" sz="2000" b="0" i="1" u="none" strike="noStrike" kern="1200" cap="none" spc="0" normalizeH="0" baseline="0">
                      <a:ln>
                        <a:noFill/>
                      </a:ln>
                      <a:solidFill>
                        <a:srgbClr val="00B050"/>
                      </a:solidFill>
                      <a:effectLst/>
                      <a:uLnTx/>
                      <a:uFillTx/>
                      <a:latin typeface="Cambria Math"/>
                      <a:ea typeface="+mn-ea"/>
                      <a:cs typeface="+mn-cs"/>
                    </a:rPr>
                    <m:t>+</m:t>
                  </m:r>
                  <m:sSubSup>
                    <m:sSubSupPr>
                      <m:ctrlPr>
                        <a:rPr kumimoji="0" lang="de-DE" sz="2000" b="0" i="1" u="none" strike="noStrike" kern="1200" cap="none" spc="0" normalizeH="0" baseline="0" noProof="0">
                          <a:ln>
                            <a:noFill/>
                          </a:ln>
                          <a:solidFill>
                            <a:srgbClr val="00B050"/>
                          </a:solidFill>
                          <a:effectLst/>
                          <a:uLnTx/>
                          <a:uFillTx/>
                          <a:latin typeface="Cambria Math" panose="02040503050406030204" pitchFamily="18" charset="0"/>
                          <a:ea typeface="+mn-ea"/>
                          <a:cs typeface="+mn-cs"/>
                        </a:rPr>
                      </m:ctrlPr>
                    </m:sSubSupPr>
                    <m:e>
                      <m:r>
                        <a:rPr kumimoji="0" lang="de-DE" sz="2000" b="0" i="1" u="none" strike="noStrike" kern="1200" cap="none" spc="0" normalizeH="0" baseline="0" noProof="0">
                          <a:ln>
                            <a:noFill/>
                          </a:ln>
                          <a:solidFill>
                            <a:srgbClr val="00B050"/>
                          </a:solidFill>
                          <a:effectLst/>
                          <a:uLnTx/>
                          <a:uFillTx/>
                          <a:latin typeface="Cambria Math"/>
                          <a:ea typeface="+mn-ea"/>
                          <a:cs typeface="+mn-cs"/>
                        </a:rPr>
                        <m:t>𝑃</m:t>
                      </m:r>
                    </m:e>
                    <m:sub>
                      <m:r>
                        <a:rPr kumimoji="0" lang="de-DE" sz="2000" b="0" i="1" u="none" strike="noStrike" kern="1200" cap="none" spc="0" normalizeH="0" baseline="0" noProof="0">
                          <a:ln>
                            <a:noFill/>
                          </a:ln>
                          <a:solidFill>
                            <a:srgbClr val="00B050"/>
                          </a:solidFill>
                          <a:effectLst/>
                          <a:uLnTx/>
                          <a:uFillTx/>
                          <a:latin typeface="Cambria Math"/>
                          <a:ea typeface="+mn-ea"/>
                          <a:cs typeface="+mn-cs"/>
                        </a:rPr>
                        <m:t>𝑣</m:t>
                      </m:r>
                    </m:sub>
                    <m:sup>
                      <m:r>
                        <a:rPr kumimoji="0" lang="de-DE" sz="2000" b="0" i="1" u="none" strike="noStrike" kern="1200" cap="none" spc="0" normalizeH="0" baseline="0" noProof="0">
                          <a:ln>
                            <a:noFill/>
                          </a:ln>
                          <a:solidFill>
                            <a:srgbClr val="00B050"/>
                          </a:solidFill>
                          <a:effectLst/>
                          <a:uLnTx/>
                          <a:uFillTx/>
                          <a:latin typeface="Cambria Math"/>
                          <a:ea typeface="+mn-ea"/>
                          <a:cs typeface="+mn-cs"/>
                        </a:rPr>
                        <m:t>𝑛𝐿</m:t>
                      </m:r>
                    </m:sup>
                  </m:sSubSup>
                  <m:r>
                    <a:rPr kumimoji="0" lang="de-DE" sz="2000" b="0" i="1" u="none" strike="noStrike" kern="1200" cap="none" spc="0" normalizeH="0" baseline="0" noProof="0">
                      <a:ln>
                        <a:noFill/>
                      </a:ln>
                      <a:solidFill>
                        <a:srgbClr val="00B050"/>
                      </a:solidFill>
                      <a:effectLst/>
                      <a:uLnTx/>
                      <a:uFillTx/>
                      <a:latin typeface="Cambria Math"/>
                      <a:ea typeface="+mn-ea"/>
                      <a:cs typeface="+mn-cs"/>
                    </a:rPr>
                    <m:t>)</m:t>
                  </m:r>
                </m:oMath>
              </a14:m>
              <a:r>
                <a:rPr lang="de-DE" sz="2000" i="1">
                  <a:latin typeface="+mn-lt"/>
                </a:rPr>
                <a:t> *  </a:t>
              </a:r>
              <a:r>
                <a:rPr lang="de-DE" sz="2000" i="1">
                  <a:solidFill>
                    <a:srgbClr val="FF0000"/>
                  </a:solidFill>
                  <a:latin typeface="+mn-lt"/>
                </a:rPr>
                <a:t>a </a:t>
              </a:r>
              <a:r>
                <a:rPr lang="de-DE" sz="2000" i="1">
                  <a:latin typeface="+mn-lt"/>
                </a:rPr>
                <a:t> = </a:t>
              </a:r>
              <a14:m>
                <m:oMath xmlns:m="http://schemas.openxmlformats.org/officeDocument/2006/math">
                  <m:sSubSup>
                    <m:sSubSupPr>
                      <m:ctrlPr>
                        <a:rPr kumimoji="0" lang="de-DE" sz="2000" b="0" i="1" u="none" strike="noStrike" kern="1200" cap="none" spc="0" normalizeH="0" baseline="0" noProof="0">
                          <a:ln>
                            <a:noFill/>
                          </a:ln>
                          <a:solidFill>
                            <a:srgbClr val="00B050"/>
                          </a:solidFill>
                          <a:effectLst/>
                          <a:uLnTx/>
                          <a:uFillTx/>
                          <a:latin typeface="Cambria Math" panose="02040503050406030204" pitchFamily="18" charset="0"/>
                          <a:ea typeface="+mn-ea"/>
                          <a:cs typeface="+mn-cs"/>
                        </a:rPr>
                      </m:ctrlPr>
                    </m:sSubSupPr>
                    <m:e>
                      <m:r>
                        <a:rPr kumimoji="0" lang="de-DE" sz="2000" b="0" i="1" u="none" strike="noStrike" kern="1200" cap="none" spc="0" normalizeH="0" baseline="0" noProof="0">
                          <a:ln>
                            <a:noFill/>
                          </a:ln>
                          <a:solidFill>
                            <a:srgbClr val="00B050"/>
                          </a:solidFill>
                          <a:effectLst/>
                          <a:uLnTx/>
                          <a:uFillTx/>
                          <a:latin typeface="Cambria Math"/>
                          <a:ea typeface="+mn-ea"/>
                          <a:cs typeface="+mn-cs"/>
                        </a:rPr>
                        <m:t>𝑃</m:t>
                      </m:r>
                    </m:e>
                    <m:sub>
                      <m:r>
                        <a:rPr kumimoji="0" lang="de-DE" sz="2000" b="0" i="1" u="none" strike="noStrike" kern="1200" cap="none" spc="0" normalizeH="0" baseline="0" noProof="0">
                          <a:ln>
                            <a:noFill/>
                          </a:ln>
                          <a:solidFill>
                            <a:srgbClr val="00B050"/>
                          </a:solidFill>
                          <a:effectLst/>
                          <a:uLnTx/>
                          <a:uFillTx/>
                          <a:latin typeface="Cambria Math"/>
                          <a:ea typeface="+mn-ea"/>
                          <a:cs typeface="+mn-cs"/>
                        </a:rPr>
                        <m:t>𝑣</m:t>
                      </m:r>
                      <m:r>
                        <a:rPr kumimoji="0" lang="de-DE" sz="2000" b="0" i="1" u="none" strike="noStrike" kern="1200" cap="none" spc="0" normalizeH="0" baseline="0" noProof="0">
                          <a:ln>
                            <a:noFill/>
                          </a:ln>
                          <a:solidFill>
                            <a:srgbClr val="00B050"/>
                          </a:solidFill>
                          <a:effectLst/>
                          <a:uLnTx/>
                          <a:uFillTx/>
                          <a:latin typeface="Cambria Math"/>
                          <a:ea typeface="+mn-ea"/>
                          <a:cs typeface="+mn-cs"/>
                        </a:rPr>
                        <m:t>,</m:t>
                      </m:r>
                      <m:r>
                        <a:rPr kumimoji="0" lang="de-DE" sz="2000" b="0" i="1" u="none" strike="noStrike" kern="1200" cap="none" spc="0" normalizeH="0" baseline="0" noProof="0">
                          <a:ln>
                            <a:noFill/>
                          </a:ln>
                          <a:solidFill>
                            <a:srgbClr val="00B050"/>
                          </a:solidFill>
                          <a:effectLst/>
                          <a:uLnTx/>
                          <a:uFillTx/>
                          <a:latin typeface="Cambria Math"/>
                          <a:ea typeface="+mn-ea"/>
                          <a:cs typeface="+mn-cs"/>
                        </a:rPr>
                        <m:t>𝑡𝐸</m:t>
                      </m:r>
                    </m:sub>
                    <m:sup>
                      <m:r>
                        <a:rPr kumimoji="0" lang="de-DE" sz="2000" b="0" i="1" u="none" strike="noStrike" kern="1200" cap="none" spc="0" normalizeH="0" baseline="0" noProof="0">
                          <a:ln>
                            <a:noFill/>
                          </a:ln>
                          <a:solidFill>
                            <a:srgbClr val="00B050"/>
                          </a:solidFill>
                          <a:effectLst/>
                          <a:uLnTx/>
                          <a:uFillTx/>
                          <a:latin typeface="Cambria Math"/>
                          <a:ea typeface="+mn-ea"/>
                          <a:cs typeface="+mn-cs"/>
                        </a:rPr>
                        <m:t>𝐿</m:t>
                      </m:r>
                    </m:sup>
                  </m:sSubSup>
                </m:oMath>
              </a14:m>
              <a:r>
                <a:rPr lang="de-DE" sz="2000" i="1">
                  <a:solidFill>
                    <a:srgbClr val="00B050"/>
                  </a:solidFill>
                  <a:latin typeface="+mn-lt"/>
                </a:rPr>
                <a:t> + </a:t>
              </a:r>
              <a14:m>
                <m:oMath xmlns:m="http://schemas.openxmlformats.org/officeDocument/2006/math">
                  <m:sSubSup>
                    <m:sSubSupPr>
                      <m:ctrlPr>
                        <a:rPr kumimoji="0" lang="de-DE" sz="2000" b="0" i="1" u="none" strike="noStrike" kern="1200" cap="none" spc="0" normalizeH="0" baseline="0" noProof="0">
                          <a:ln>
                            <a:noFill/>
                          </a:ln>
                          <a:solidFill>
                            <a:srgbClr val="00B050"/>
                          </a:solidFill>
                          <a:effectLst/>
                          <a:uLnTx/>
                          <a:uFillTx/>
                          <a:latin typeface="Cambria Math" panose="02040503050406030204" pitchFamily="18" charset="0"/>
                          <a:ea typeface="+mn-ea"/>
                          <a:cs typeface="+mn-cs"/>
                        </a:rPr>
                      </m:ctrlPr>
                    </m:sSubSupPr>
                    <m:e>
                      <m:r>
                        <a:rPr kumimoji="0" lang="de-DE" sz="2000" b="0" i="1" u="none" strike="noStrike" kern="1200" cap="none" spc="0" normalizeH="0" baseline="0" noProof="0">
                          <a:ln>
                            <a:noFill/>
                          </a:ln>
                          <a:solidFill>
                            <a:srgbClr val="00B050"/>
                          </a:solidFill>
                          <a:effectLst/>
                          <a:uLnTx/>
                          <a:uFillTx/>
                          <a:latin typeface="Cambria Math"/>
                          <a:ea typeface="+mn-ea"/>
                          <a:cs typeface="+mn-cs"/>
                        </a:rPr>
                        <m:t>𝑃</m:t>
                      </m:r>
                    </m:e>
                    <m:sub>
                      <m:r>
                        <a:rPr kumimoji="0" lang="de-DE" sz="2000" b="0" i="1" u="none" strike="noStrike" kern="1200" cap="none" spc="0" normalizeH="0" baseline="0" noProof="0">
                          <a:ln>
                            <a:noFill/>
                          </a:ln>
                          <a:solidFill>
                            <a:srgbClr val="00B050"/>
                          </a:solidFill>
                          <a:effectLst/>
                          <a:uLnTx/>
                          <a:uFillTx/>
                          <a:latin typeface="Cambria Math"/>
                          <a:ea typeface="+mn-ea"/>
                          <a:cs typeface="+mn-cs"/>
                        </a:rPr>
                        <m:t>𝑣</m:t>
                      </m:r>
                      <m:r>
                        <a:rPr kumimoji="0" lang="de-DE" sz="2000" b="0" i="1" u="none" strike="noStrike" kern="1200" cap="none" spc="0" normalizeH="0" baseline="0" noProof="0">
                          <a:ln>
                            <a:noFill/>
                          </a:ln>
                          <a:solidFill>
                            <a:srgbClr val="00B050"/>
                          </a:solidFill>
                          <a:effectLst/>
                          <a:uLnTx/>
                          <a:uFillTx/>
                          <a:latin typeface="Cambria Math"/>
                          <a:ea typeface="+mn-ea"/>
                          <a:cs typeface="+mn-cs"/>
                        </a:rPr>
                        <m:t>,</m:t>
                      </m:r>
                      <m:r>
                        <a:rPr kumimoji="0" lang="de-DE" sz="2000" b="0" i="1" u="none" strike="noStrike" kern="1200" cap="none" spc="0" normalizeH="0" baseline="0" noProof="0">
                          <a:ln>
                            <a:noFill/>
                          </a:ln>
                          <a:solidFill>
                            <a:srgbClr val="00B050"/>
                          </a:solidFill>
                          <a:effectLst/>
                          <a:uLnTx/>
                          <a:uFillTx/>
                          <a:latin typeface="Cambria Math"/>
                          <a:ea typeface="+mn-ea"/>
                          <a:cs typeface="+mn-cs"/>
                        </a:rPr>
                        <m:t>𝑡𝐸</m:t>
                      </m:r>
                    </m:sub>
                    <m:sup>
                      <m:r>
                        <a:rPr kumimoji="0" lang="de-DE" sz="2000" b="0" i="1" u="none" strike="noStrike" kern="1200" cap="none" spc="0" normalizeH="0" baseline="0" noProof="0">
                          <a:ln>
                            <a:noFill/>
                          </a:ln>
                          <a:solidFill>
                            <a:srgbClr val="00B050"/>
                          </a:solidFill>
                          <a:effectLst/>
                          <a:uLnTx/>
                          <a:uFillTx/>
                          <a:latin typeface="Cambria Math"/>
                          <a:ea typeface="+mn-ea"/>
                          <a:cs typeface="+mn-cs"/>
                        </a:rPr>
                        <m:t>𝑛𝐿</m:t>
                      </m:r>
                    </m:sup>
                  </m:sSubSup>
                </m:oMath>
              </a14:m>
              <a:r>
                <a:rPr lang="de-DE" sz="2000" i="1" baseline="0">
                  <a:solidFill>
                    <a:srgbClr val="000000"/>
                  </a:solidFill>
                  <a:latin typeface="+mn-lt"/>
                </a:rPr>
                <a:t>; a = a</a:t>
              </a:r>
              <a:r>
                <a:rPr lang="de-DE" sz="2000" i="1" baseline="30000">
                  <a:solidFill>
                    <a:srgbClr val="000000"/>
                  </a:solidFill>
                  <a:latin typeface="+mn-lt"/>
                </a:rPr>
                <a:t>L</a:t>
              </a:r>
              <a:r>
                <a:rPr lang="de-DE" sz="2000" i="1" baseline="0">
                  <a:solidFill>
                    <a:srgbClr val="000000"/>
                  </a:solidFill>
                  <a:latin typeface="+mn-lt"/>
                </a:rPr>
                <a:t> = a</a:t>
              </a:r>
              <a:r>
                <a:rPr lang="de-DE" sz="2000" i="1" baseline="30000">
                  <a:solidFill>
                    <a:srgbClr val="000000"/>
                  </a:solidFill>
                  <a:latin typeface="+mn-lt"/>
                </a:rPr>
                <a:t>nL</a:t>
              </a:r>
            </a:p>
            <a:p>
              <a:endParaRPr lang="de-DE" sz="1600"/>
            </a:p>
          </xdr:txBody>
        </xdr:sp>
      </mc:Choice>
      <mc:Fallback xmlns="">
        <xdr:sp macro="" textlink="">
          <xdr:nvSpPr>
            <xdr:cNvPr id="51" name="Textfeld 6"/>
            <xdr:cNvSpPr txBox="1"/>
          </xdr:nvSpPr>
          <xdr:spPr>
            <a:xfrm>
              <a:off x="6829424" y="16868776"/>
              <a:ext cx="5143501" cy="800100"/>
            </a:xfrm>
            <a:prstGeom prst="rect">
              <a:avLst/>
            </a:prstGeom>
            <a:noFill/>
          </xdr:spPr>
          <xdr:txBody>
            <a:bodyPr wrap="square" rtlCol="0">
              <a:noAutofit/>
            </a:bodyPr>
            <a:lstStyle>
              <a:defPPr>
                <a:defRPr lang="de-DE"/>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a:r>
                <a:rPr lang="de-DE" sz="2000" b="1" u="sng">
                  <a:latin typeface="+mn-lt"/>
                </a:rPr>
                <a:t>VDN: </a:t>
              </a:r>
              <a:r>
                <a:rPr lang="de-DE" sz="2000" b="1" i="1" u="sng">
                  <a:latin typeface="+mn-lt"/>
                </a:rPr>
                <a:t>Ein</a:t>
              </a:r>
              <a:r>
                <a:rPr lang="de-DE" sz="2000" b="1" u="sng">
                  <a:latin typeface="+mn-lt"/>
                </a:rPr>
                <a:t> Anteilsfaktor</a:t>
              </a:r>
              <a:r>
                <a:rPr lang="de-DE" sz="2000" u="sng">
                  <a:latin typeface="+mn-lt"/>
                </a:rPr>
                <a:t> verstetigte Leistung (</a:t>
              </a:r>
              <a:r>
                <a:rPr lang="de-DE" sz="2000" i="1" u="sng" baseline="0">
                  <a:solidFill>
                    <a:srgbClr val="FF0000"/>
                  </a:solidFill>
                  <a:latin typeface="+mn-lt"/>
                </a:rPr>
                <a:t>a</a:t>
              </a:r>
              <a:r>
                <a:rPr lang="de-DE" sz="2000" u="sng">
                  <a:latin typeface="+mn-lt"/>
                </a:rPr>
                <a:t>)</a:t>
              </a:r>
            </a:p>
            <a:p>
              <a:pPr marL="0" marR="0" indent="0" algn="ctr" defTabSz="914400" rtl="0" eaLnBrk="1" fontAlgn="base" latinLnBrk="0" hangingPunct="1">
                <a:lnSpc>
                  <a:spcPct val="100000"/>
                </a:lnSpc>
                <a:spcBef>
                  <a:spcPct val="0"/>
                </a:spcBef>
                <a:spcAft>
                  <a:spcPct val="0"/>
                </a:spcAft>
                <a:buClrTx/>
                <a:buSzTx/>
                <a:buFontTx/>
                <a:buNone/>
                <a:tabLst/>
                <a:defRPr/>
              </a:pPr>
              <a:r>
                <a:rPr kumimoji="0" lang="de-DE" sz="2000" b="0" i="0" u="none" strike="noStrike" kern="1200" cap="none" spc="0" normalizeH="0" baseline="0">
                  <a:ln>
                    <a:noFill/>
                  </a:ln>
                  <a:solidFill>
                    <a:srgbClr val="00B050"/>
                  </a:solidFill>
                  <a:effectLst/>
                  <a:uLnTx/>
                  <a:uFillTx/>
                  <a:latin typeface="Cambria Math"/>
                  <a:ea typeface="+mn-ea"/>
                  <a:cs typeface="+mn-cs"/>
                </a:rPr>
                <a:t>(𝑃_𝑣^𝐿+</a:t>
              </a:r>
              <a:r>
                <a:rPr kumimoji="0" lang="de-DE" sz="2000" b="0" i="0" u="none" strike="noStrike" kern="1200" cap="none" spc="0" normalizeH="0" baseline="0" noProof="0">
                  <a:ln>
                    <a:noFill/>
                  </a:ln>
                  <a:solidFill>
                    <a:srgbClr val="00B050"/>
                  </a:solidFill>
                  <a:effectLst/>
                  <a:uLnTx/>
                  <a:uFillTx/>
                  <a:latin typeface="Cambria Math"/>
                  <a:ea typeface="+mn-ea"/>
                  <a:cs typeface="+mn-cs"/>
                </a:rPr>
                <a:t>𝑃_𝑣^𝑛𝐿)</a:t>
              </a:r>
              <a:r>
                <a:rPr lang="de-DE" sz="2000" i="1">
                  <a:latin typeface="+mn-lt"/>
                </a:rPr>
                <a:t> *  </a:t>
              </a:r>
              <a:r>
                <a:rPr lang="de-DE" sz="2000" i="1">
                  <a:solidFill>
                    <a:srgbClr val="FF0000"/>
                  </a:solidFill>
                  <a:latin typeface="+mn-lt"/>
                </a:rPr>
                <a:t>a </a:t>
              </a:r>
              <a:r>
                <a:rPr lang="de-DE" sz="2000" i="1">
                  <a:latin typeface="+mn-lt"/>
                </a:rPr>
                <a:t> = </a:t>
              </a:r>
              <a:r>
                <a:rPr kumimoji="0" lang="de-DE" sz="2000" b="0" i="0" u="none" strike="noStrike" kern="1200" cap="none" spc="0" normalizeH="0" baseline="0" noProof="0">
                  <a:ln>
                    <a:noFill/>
                  </a:ln>
                  <a:solidFill>
                    <a:srgbClr val="00B050"/>
                  </a:solidFill>
                  <a:effectLst/>
                  <a:uLnTx/>
                  <a:uFillTx/>
                  <a:latin typeface="Cambria Math"/>
                  <a:ea typeface="+mn-ea"/>
                  <a:cs typeface="+mn-cs"/>
                </a:rPr>
                <a:t>𝑃_(𝑣,𝑡𝐸)^𝐿</a:t>
              </a:r>
              <a:r>
                <a:rPr lang="de-DE" sz="2000" i="1">
                  <a:solidFill>
                    <a:srgbClr val="00B050"/>
                  </a:solidFill>
                  <a:latin typeface="+mn-lt"/>
                </a:rPr>
                <a:t> + </a:t>
              </a:r>
              <a:r>
                <a:rPr kumimoji="0" lang="de-DE" sz="2000" b="0" i="0" u="none" strike="noStrike" kern="1200" cap="none" spc="0" normalizeH="0" baseline="0" noProof="0">
                  <a:ln>
                    <a:noFill/>
                  </a:ln>
                  <a:solidFill>
                    <a:srgbClr val="00B050"/>
                  </a:solidFill>
                  <a:effectLst/>
                  <a:uLnTx/>
                  <a:uFillTx/>
                  <a:latin typeface="Cambria Math"/>
                  <a:ea typeface="+mn-ea"/>
                  <a:cs typeface="+mn-cs"/>
                </a:rPr>
                <a:t>𝑃_(𝑣,𝑡𝐸)^𝑛𝐿</a:t>
              </a:r>
              <a:r>
                <a:rPr lang="de-DE" sz="2000" i="1" baseline="0">
                  <a:solidFill>
                    <a:srgbClr val="000000"/>
                  </a:solidFill>
                  <a:latin typeface="+mn-lt"/>
                </a:rPr>
                <a:t>; a = a</a:t>
              </a:r>
              <a:r>
                <a:rPr lang="de-DE" sz="2000" i="1" baseline="30000">
                  <a:solidFill>
                    <a:srgbClr val="000000"/>
                  </a:solidFill>
                  <a:latin typeface="+mn-lt"/>
                </a:rPr>
                <a:t>L</a:t>
              </a:r>
              <a:r>
                <a:rPr lang="de-DE" sz="2000" i="1" baseline="0">
                  <a:solidFill>
                    <a:srgbClr val="000000"/>
                  </a:solidFill>
                  <a:latin typeface="+mn-lt"/>
                </a:rPr>
                <a:t> = a</a:t>
              </a:r>
              <a:r>
                <a:rPr lang="de-DE" sz="2000" i="1" baseline="30000">
                  <a:solidFill>
                    <a:srgbClr val="000000"/>
                  </a:solidFill>
                  <a:latin typeface="+mn-lt"/>
                </a:rPr>
                <a:t>nL</a:t>
              </a:r>
            </a:p>
            <a:p>
              <a:endParaRPr lang="de-DE" sz="1600"/>
            </a:p>
          </xdr:txBody>
        </xdr:sp>
      </mc:Fallback>
    </mc:AlternateContent>
    <xdr:clientData/>
  </xdr:twoCellAnchor>
  <xdr:twoCellAnchor>
    <xdr:from>
      <xdr:col>4</xdr:col>
      <xdr:colOff>257174</xdr:colOff>
      <xdr:row>98</xdr:row>
      <xdr:rowOff>85725</xdr:rowOff>
    </xdr:from>
    <xdr:to>
      <xdr:col>7</xdr:col>
      <xdr:colOff>457199</xdr:colOff>
      <xdr:row>108</xdr:row>
      <xdr:rowOff>19050</xdr:rowOff>
    </xdr:to>
    <xdr:sp macro="" textlink="">
      <xdr:nvSpPr>
        <xdr:cNvPr id="5" name="Ellipse 4">
          <a:extLst>
            <a:ext uri="{FF2B5EF4-FFF2-40B4-BE49-F238E27FC236}">
              <a16:creationId xmlns:a16="http://schemas.microsoft.com/office/drawing/2014/main" id="{00000000-0008-0000-0C00-000005000000}"/>
            </a:ext>
          </a:extLst>
        </xdr:cNvPr>
        <xdr:cNvSpPr/>
      </xdr:nvSpPr>
      <xdr:spPr>
        <a:xfrm>
          <a:off x="3305174" y="15906750"/>
          <a:ext cx="2486025" cy="1552575"/>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6</xdr:col>
      <xdr:colOff>761999</xdr:colOff>
      <xdr:row>109</xdr:row>
      <xdr:rowOff>28575</xdr:rowOff>
    </xdr:from>
    <xdr:to>
      <xdr:col>16</xdr:col>
      <xdr:colOff>243417</xdr:colOff>
      <xdr:row>112</xdr:row>
      <xdr:rowOff>95250</xdr:rowOff>
    </xdr:to>
    <xdr:sp macro="" textlink="">
      <xdr:nvSpPr>
        <xdr:cNvPr id="55" name="Textfeld 6">
          <a:extLst>
            <a:ext uri="{FF2B5EF4-FFF2-40B4-BE49-F238E27FC236}">
              <a16:creationId xmlns:a16="http://schemas.microsoft.com/office/drawing/2014/main" id="{00000000-0008-0000-0C00-000037000000}"/>
            </a:ext>
          </a:extLst>
        </xdr:cNvPr>
        <xdr:cNvSpPr txBox="1"/>
      </xdr:nvSpPr>
      <xdr:spPr>
        <a:xfrm>
          <a:off x="5333999" y="17311158"/>
          <a:ext cx="7101418" cy="542925"/>
        </a:xfrm>
        <a:prstGeom prst="rect">
          <a:avLst/>
        </a:prstGeom>
        <a:noFill/>
      </xdr:spPr>
      <xdr:txBody>
        <a:bodyPr wrap="square" rtlCol="0">
          <a:noAutofit/>
        </a:bodyPr>
        <a:lstStyle>
          <a:defPPr>
            <a:defRPr lang="de-DE"/>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a:r>
            <a:rPr lang="de-DE" sz="2000" b="1" i="0" u="sng">
              <a:latin typeface="+mn-lt"/>
            </a:rPr>
            <a:t>Dieses Tool: </a:t>
          </a:r>
          <a:r>
            <a:rPr lang="de-DE" sz="2000" b="1" i="1" u="sng">
              <a:latin typeface="+mn-lt"/>
            </a:rPr>
            <a:t>Zwei</a:t>
          </a:r>
          <a:r>
            <a:rPr lang="de-DE" sz="2000" b="1" u="sng">
              <a:latin typeface="+mn-lt"/>
            </a:rPr>
            <a:t> Anteilsfaktoren </a:t>
          </a:r>
          <a:r>
            <a:rPr lang="de-DE" sz="2000" u="sng">
              <a:latin typeface="+mn-lt"/>
            </a:rPr>
            <a:t> verstetigter Leistung (</a:t>
          </a:r>
          <a:r>
            <a:rPr lang="de-DE" sz="2000" i="1" u="sng">
              <a:solidFill>
                <a:srgbClr val="FF0000"/>
              </a:solidFill>
              <a:latin typeface="+mn-lt"/>
            </a:rPr>
            <a:t>a</a:t>
          </a:r>
          <a:r>
            <a:rPr lang="de-DE" sz="2000" i="1" u="sng" baseline="30000">
              <a:solidFill>
                <a:srgbClr val="FF0000"/>
              </a:solidFill>
              <a:latin typeface="+mn-lt"/>
            </a:rPr>
            <a:t>L</a:t>
          </a:r>
          <a:r>
            <a:rPr lang="de-DE" sz="2000" i="0" u="sng" baseline="0">
              <a:latin typeface="+mn-lt"/>
            </a:rPr>
            <a:t> und </a:t>
          </a:r>
          <a:r>
            <a:rPr lang="de-DE" sz="2000" i="1" u="sng" baseline="0">
              <a:solidFill>
                <a:srgbClr val="FF0000"/>
              </a:solidFill>
              <a:latin typeface="+mn-lt"/>
            </a:rPr>
            <a:t>a</a:t>
          </a:r>
          <a:r>
            <a:rPr lang="de-DE" sz="2000" i="1" u="sng" baseline="30000">
              <a:solidFill>
                <a:srgbClr val="FF0000"/>
              </a:solidFill>
              <a:latin typeface="+mn-lt"/>
            </a:rPr>
            <a:t>nL</a:t>
          </a:r>
          <a:r>
            <a:rPr lang="de-DE" sz="2000" i="0" u="sng" baseline="0">
              <a:latin typeface="+mn-lt"/>
            </a:rPr>
            <a:t>)</a:t>
          </a:r>
          <a:endParaRPr lang="de-DE" sz="2000" u="sng">
            <a:latin typeface="+mn-lt"/>
          </a:endParaRPr>
        </a:p>
        <a:p>
          <a:endParaRPr lang="de-DE" sz="1600"/>
        </a:p>
      </xdr:txBody>
    </xdr:sp>
    <xdr:clientData/>
  </xdr:twoCellAnchor>
  <xdr:twoCellAnchor>
    <xdr:from>
      <xdr:col>6</xdr:col>
      <xdr:colOff>628650</xdr:colOff>
      <xdr:row>107</xdr:row>
      <xdr:rowOff>142875</xdr:rowOff>
    </xdr:from>
    <xdr:to>
      <xdr:col>7</xdr:col>
      <xdr:colOff>95250</xdr:colOff>
      <xdr:row>109</xdr:row>
      <xdr:rowOff>152400</xdr:rowOff>
    </xdr:to>
    <xdr:cxnSp macro="">
      <xdr:nvCxnSpPr>
        <xdr:cNvPr id="19" name="Gerade Verbindung mit Pfeil 18">
          <a:extLst>
            <a:ext uri="{FF2B5EF4-FFF2-40B4-BE49-F238E27FC236}">
              <a16:creationId xmlns:a16="http://schemas.microsoft.com/office/drawing/2014/main" id="{00000000-0008-0000-0C00-000013000000}"/>
            </a:ext>
          </a:extLst>
        </xdr:cNvPr>
        <xdr:cNvCxnSpPr/>
      </xdr:nvCxnSpPr>
      <xdr:spPr>
        <a:xfrm flipH="1" flipV="1">
          <a:off x="5200650" y="17421225"/>
          <a:ext cx="228600" cy="333375"/>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17319</xdr:colOff>
      <xdr:row>16</xdr:row>
      <xdr:rowOff>86591</xdr:rowOff>
    </xdr:from>
    <xdr:to>
      <xdr:col>4</xdr:col>
      <xdr:colOff>19050</xdr:colOff>
      <xdr:row>21</xdr:row>
      <xdr:rowOff>314325</xdr:rowOff>
    </xdr:to>
    <xdr:cxnSp macro="">
      <xdr:nvCxnSpPr>
        <xdr:cNvPr id="2" name="Gerade Verbindung mit Pfeil 1">
          <a:extLst>
            <a:ext uri="{FF2B5EF4-FFF2-40B4-BE49-F238E27FC236}">
              <a16:creationId xmlns:a16="http://schemas.microsoft.com/office/drawing/2014/main" id="{00000000-0008-0000-0200-000002000000}"/>
            </a:ext>
          </a:extLst>
        </xdr:cNvPr>
        <xdr:cNvCxnSpPr/>
      </xdr:nvCxnSpPr>
      <xdr:spPr>
        <a:xfrm flipH="1" flipV="1">
          <a:off x="5846619" y="4001366"/>
          <a:ext cx="2363931" cy="1561234"/>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1151660</xdr:colOff>
      <xdr:row>20</xdr:row>
      <xdr:rowOff>295275</xdr:rowOff>
    </xdr:from>
    <xdr:to>
      <xdr:col>3</xdr:col>
      <xdr:colOff>228600</xdr:colOff>
      <xdr:row>26</xdr:row>
      <xdr:rowOff>103909</xdr:rowOff>
    </xdr:to>
    <xdr:cxnSp macro="">
      <xdr:nvCxnSpPr>
        <xdr:cNvPr id="2" name="Gerade Verbindung mit Pfeil 1">
          <a:extLst>
            <a:ext uri="{FF2B5EF4-FFF2-40B4-BE49-F238E27FC236}">
              <a16:creationId xmlns:a16="http://schemas.microsoft.com/office/drawing/2014/main" id="{00000000-0008-0000-0300-000002000000}"/>
            </a:ext>
          </a:extLst>
        </xdr:cNvPr>
        <xdr:cNvCxnSpPr/>
      </xdr:nvCxnSpPr>
      <xdr:spPr>
        <a:xfrm flipH="1">
          <a:off x="5799860" y="5353050"/>
          <a:ext cx="2372590" cy="1704109"/>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xdr:colOff>
      <xdr:row>32</xdr:row>
      <xdr:rowOff>60615</xdr:rowOff>
    </xdr:from>
    <xdr:to>
      <xdr:col>4</xdr:col>
      <xdr:colOff>9525</xdr:colOff>
      <xdr:row>37</xdr:row>
      <xdr:rowOff>304800</xdr:rowOff>
    </xdr:to>
    <xdr:cxnSp macro="">
      <xdr:nvCxnSpPr>
        <xdr:cNvPr id="4" name="Gerade Verbindung mit Pfeil 3">
          <a:extLst>
            <a:ext uri="{FF2B5EF4-FFF2-40B4-BE49-F238E27FC236}">
              <a16:creationId xmlns:a16="http://schemas.microsoft.com/office/drawing/2014/main" id="{00000000-0008-0000-0300-000004000000}"/>
            </a:ext>
          </a:extLst>
        </xdr:cNvPr>
        <xdr:cNvCxnSpPr/>
      </xdr:nvCxnSpPr>
      <xdr:spPr>
        <a:xfrm flipH="1" flipV="1">
          <a:off x="5829301" y="8156865"/>
          <a:ext cx="2371724" cy="1577685"/>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17319</xdr:colOff>
      <xdr:row>16</xdr:row>
      <xdr:rowOff>86591</xdr:rowOff>
    </xdr:from>
    <xdr:to>
      <xdr:col>4</xdr:col>
      <xdr:colOff>9525</xdr:colOff>
      <xdr:row>21</xdr:row>
      <xdr:rowOff>247650</xdr:rowOff>
    </xdr:to>
    <xdr:cxnSp macro="">
      <xdr:nvCxnSpPr>
        <xdr:cNvPr id="8" name="Gerade Verbindung mit Pfeil 7">
          <a:extLst>
            <a:ext uri="{FF2B5EF4-FFF2-40B4-BE49-F238E27FC236}">
              <a16:creationId xmlns:a16="http://schemas.microsoft.com/office/drawing/2014/main" id="{00000000-0008-0000-0300-000008000000}"/>
            </a:ext>
          </a:extLst>
        </xdr:cNvPr>
        <xdr:cNvCxnSpPr/>
      </xdr:nvCxnSpPr>
      <xdr:spPr>
        <a:xfrm flipH="1" flipV="1">
          <a:off x="5846619" y="4382366"/>
          <a:ext cx="2354406" cy="1494559"/>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8660</xdr:colOff>
      <xdr:row>21</xdr:row>
      <xdr:rowOff>257175</xdr:rowOff>
    </xdr:from>
    <xdr:to>
      <xdr:col>4</xdr:col>
      <xdr:colOff>0</xdr:colOff>
      <xdr:row>31</xdr:row>
      <xdr:rowOff>121227</xdr:rowOff>
    </xdr:to>
    <xdr:cxnSp macro="">
      <xdr:nvCxnSpPr>
        <xdr:cNvPr id="10" name="Gerade Verbindung mit Pfeil 9">
          <a:extLst>
            <a:ext uri="{FF2B5EF4-FFF2-40B4-BE49-F238E27FC236}">
              <a16:creationId xmlns:a16="http://schemas.microsoft.com/office/drawing/2014/main" id="{00000000-0008-0000-0300-00000A000000}"/>
            </a:ext>
          </a:extLst>
        </xdr:cNvPr>
        <xdr:cNvCxnSpPr/>
      </xdr:nvCxnSpPr>
      <xdr:spPr>
        <a:xfrm flipH="1">
          <a:off x="5837960" y="5886450"/>
          <a:ext cx="2353540" cy="2140527"/>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0</xdr:colOff>
      <xdr:row>37</xdr:row>
      <xdr:rowOff>304800</xdr:rowOff>
    </xdr:from>
    <xdr:to>
      <xdr:col>4</xdr:col>
      <xdr:colOff>19050</xdr:colOff>
      <xdr:row>48</xdr:row>
      <xdr:rowOff>86591</xdr:rowOff>
    </xdr:to>
    <xdr:cxnSp macro="">
      <xdr:nvCxnSpPr>
        <xdr:cNvPr id="4" name="Gerade Verbindung mit Pfeil 3">
          <a:extLst>
            <a:ext uri="{FF2B5EF4-FFF2-40B4-BE49-F238E27FC236}">
              <a16:creationId xmlns:a16="http://schemas.microsoft.com/office/drawing/2014/main" id="{00000000-0008-0000-0400-000004000000}"/>
            </a:ext>
          </a:extLst>
        </xdr:cNvPr>
        <xdr:cNvCxnSpPr/>
      </xdr:nvCxnSpPr>
      <xdr:spPr>
        <a:xfrm flipH="1">
          <a:off x="5829300" y="9744075"/>
          <a:ext cx="2381250" cy="2448791"/>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8661</xdr:colOff>
      <xdr:row>32</xdr:row>
      <xdr:rowOff>51955</xdr:rowOff>
    </xdr:from>
    <xdr:to>
      <xdr:col>4</xdr:col>
      <xdr:colOff>9525</xdr:colOff>
      <xdr:row>37</xdr:row>
      <xdr:rowOff>304800</xdr:rowOff>
    </xdr:to>
    <xdr:cxnSp macro="">
      <xdr:nvCxnSpPr>
        <xdr:cNvPr id="5" name="Gerade Verbindung mit Pfeil 4">
          <a:extLst>
            <a:ext uri="{FF2B5EF4-FFF2-40B4-BE49-F238E27FC236}">
              <a16:creationId xmlns:a16="http://schemas.microsoft.com/office/drawing/2014/main" id="{00000000-0008-0000-0400-000005000000}"/>
            </a:ext>
          </a:extLst>
        </xdr:cNvPr>
        <xdr:cNvCxnSpPr/>
      </xdr:nvCxnSpPr>
      <xdr:spPr>
        <a:xfrm flipH="1" flipV="1">
          <a:off x="5837961" y="8157730"/>
          <a:ext cx="2363064" cy="1586345"/>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1151660</xdr:colOff>
      <xdr:row>20</xdr:row>
      <xdr:rowOff>285750</xdr:rowOff>
    </xdr:from>
    <xdr:to>
      <xdr:col>3</xdr:col>
      <xdr:colOff>238125</xdr:colOff>
      <xdr:row>26</xdr:row>
      <xdr:rowOff>103909</xdr:rowOff>
    </xdr:to>
    <xdr:cxnSp macro="">
      <xdr:nvCxnSpPr>
        <xdr:cNvPr id="13" name="Gerade Verbindung mit Pfeil 12">
          <a:extLst>
            <a:ext uri="{FF2B5EF4-FFF2-40B4-BE49-F238E27FC236}">
              <a16:creationId xmlns:a16="http://schemas.microsoft.com/office/drawing/2014/main" id="{00000000-0008-0000-0400-00000D000000}"/>
            </a:ext>
          </a:extLst>
        </xdr:cNvPr>
        <xdr:cNvCxnSpPr/>
      </xdr:nvCxnSpPr>
      <xdr:spPr>
        <a:xfrm flipH="1">
          <a:off x="5799860" y="5343525"/>
          <a:ext cx="2382115" cy="1723159"/>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17319</xdr:colOff>
      <xdr:row>16</xdr:row>
      <xdr:rowOff>86591</xdr:rowOff>
    </xdr:from>
    <xdr:to>
      <xdr:col>4</xdr:col>
      <xdr:colOff>0</xdr:colOff>
      <xdr:row>21</xdr:row>
      <xdr:rowOff>295275</xdr:rowOff>
    </xdr:to>
    <xdr:cxnSp macro="">
      <xdr:nvCxnSpPr>
        <xdr:cNvPr id="15" name="Gerade Verbindung mit Pfeil 14">
          <a:extLst>
            <a:ext uri="{FF2B5EF4-FFF2-40B4-BE49-F238E27FC236}">
              <a16:creationId xmlns:a16="http://schemas.microsoft.com/office/drawing/2014/main" id="{00000000-0008-0000-0400-00000F000000}"/>
            </a:ext>
          </a:extLst>
        </xdr:cNvPr>
        <xdr:cNvCxnSpPr/>
      </xdr:nvCxnSpPr>
      <xdr:spPr>
        <a:xfrm flipH="1" flipV="1">
          <a:off x="5846619" y="4382366"/>
          <a:ext cx="2344881" cy="1542184"/>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8659</xdr:colOff>
      <xdr:row>21</xdr:row>
      <xdr:rowOff>304800</xdr:rowOff>
    </xdr:from>
    <xdr:to>
      <xdr:col>4</xdr:col>
      <xdr:colOff>0</xdr:colOff>
      <xdr:row>31</xdr:row>
      <xdr:rowOff>86591</xdr:rowOff>
    </xdr:to>
    <xdr:cxnSp macro="">
      <xdr:nvCxnSpPr>
        <xdr:cNvPr id="20" name="Gerade Verbindung mit Pfeil 19">
          <a:extLst>
            <a:ext uri="{FF2B5EF4-FFF2-40B4-BE49-F238E27FC236}">
              <a16:creationId xmlns:a16="http://schemas.microsoft.com/office/drawing/2014/main" id="{00000000-0008-0000-0400-000014000000}"/>
            </a:ext>
          </a:extLst>
        </xdr:cNvPr>
        <xdr:cNvCxnSpPr/>
      </xdr:nvCxnSpPr>
      <xdr:spPr>
        <a:xfrm flipH="1">
          <a:off x="5837959" y="5934075"/>
          <a:ext cx="2353541" cy="2067791"/>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17320</xdr:colOff>
      <xdr:row>36</xdr:row>
      <xdr:rowOff>276225</xdr:rowOff>
    </xdr:from>
    <xdr:to>
      <xdr:col>3</xdr:col>
      <xdr:colOff>238125</xdr:colOff>
      <xdr:row>42</xdr:row>
      <xdr:rowOff>121227</xdr:rowOff>
    </xdr:to>
    <xdr:cxnSp macro="">
      <xdr:nvCxnSpPr>
        <xdr:cNvPr id="24" name="Gerade Verbindung mit Pfeil 23">
          <a:extLst>
            <a:ext uri="{FF2B5EF4-FFF2-40B4-BE49-F238E27FC236}">
              <a16:creationId xmlns:a16="http://schemas.microsoft.com/office/drawing/2014/main" id="{00000000-0008-0000-0400-000018000000}"/>
            </a:ext>
          </a:extLst>
        </xdr:cNvPr>
        <xdr:cNvCxnSpPr/>
      </xdr:nvCxnSpPr>
      <xdr:spPr>
        <a:xfrm flipH="1">
          <a:off x="5846620" y="9144000"/>
          <a:ext cx="2335355" cy="1750002"/>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66675</xdr:colOff>
          <xdr:row>34</xdr:row>
          <xdr:rowOff>76200</xdr:rowOff>
        </xdr:from>
        <xdr:to>
          <xdr:col>0</xdr:col>
          <xdr:colOff>4457700</xdr:colOff>
          <xdr:row>34</xdr:row>
          <xdr:rowOff>504825</xdr:rowOff>
        </xdr:to>
        <xdr:sp macro="" textlink="">
          <xdr:nvSpPr>
            <xdr:cNvPr id="47395" name="CommandButton1" hidden="1">
              <a:extLst>
                <a:ext uri="{63B3BB69-23CF-44E3-9099-C40C66FF867C}">
                  <a14:compatExt spid="_x0000_s47395"/>
                </a:ext>
                <a:ext uri="{FF2B5EF4-FFF2-40B4-BE49-F238E27FC236}">
                  <a16:creationId xmlns:a16="http://schemas.microsoft.com/office/drawing/2014/main" id="{00000000-0008-0000-0500-000023B90000}"/>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66675</xdr:colOff>
          <xdr:row>34</xdr:row>
          <xdr:rowOff>533400</xdr:rowOff>
        </xdr:from>
        <xdr:to>
          <xdr:col>0</xdr:col>
          <xdr:colOff>4457700</xdr:colOff>
          <xdr:row>34</xdr:row>
          <xdr:rowOff>962025</xdr:rowOff>
        </xdr:to>
        <xdr:sp macro="" textlink="">
          <xdr:nvSpPr>
            <xdr:cNvPr id="47396" name="CommandButton2" hidden="1">
              <a:extLst>
                <a:ext uri="{63B3BB69-23CF-44E3-9099-C40C66FF867C}">
                  <a14:compatExt spid="_x0000_s47396"/>
                </a:ext>
                <a:ext uri="{FF2B5EF4-FFF2-40B4-BE49-F238E27FC236}">
                  <a16:creationId xmlns:a16="http://schemas.microsoft.com/office/drawing/2014/main" id="{00000000-0008-0000-0500-000024B9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66675</xdr:colOff>
          <xdr:row>34</xdr:row>
          <xdr:rowOff>76200</xdr:rowOff>
        </xdr:from>
        <xdr:to>
          <xdr:col>0</xdr:col>
          <xdr:colOff>4457700</xdr:colOff>
          <xdr:row>34</xdr:row>
          <xdr:rowOff>504825</xdr:rowOff>
        </xdr:to>
        <xdr:sp macro="" textlink="">
          <xdr:nvSpPr>
            <xdr:cNvPr id="57385" name="CommandButton1" hidden="1">
              <a:extLst>
                <a:ext uri="{63B3BB69-23CF-44E3-9099-C40C66FF867C}">
                  <a14:compatExt spid="_x0000_s57385"/>
                </a:ext>
                <a:ext uri="{FF2B5EF4-FFF2-40B4-BE49-F238E27FC236}">
                  <a16:creationId xmlns:a16="http://schemas.microsoft.com/office/drawing/2014/main" id="{00000000-0008-0000-0600-000029E00000}"/>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66675</xdr:colOff>
          <xdr:row>34</xdr:row>
          <xdr:rowOff>533400</xdr:rowOff>
        </xdr:from>
        <xdr:to>
          <xdr:col>0</xdr:col>
          <xdr:colOff>4457700</xdr:colOff>
          <xdr:row>34</xdr:row>
          <xdr:rowOff>962025</xdr:rowOff>
        </xdr:to>
        <xdr:sp macro="" textlink="">
          <xdr:nvSpPr>
            <xdr:cNvPr id="57386" name="CommandButton2" hidden="1">
              <a:extLst>
                <a:ext uri="{63B3BB69-23CF-44E3-9099-C40C66FF867C}">
                  <a14:compatExt spid="_x0000_s57386"/>
                </a:ext>
                <a:ext uri="{FF2B5EF4-FFF2-40B4-BE49-F238E27FC236}">
                  <a16:creationId xmlns:a16="http://schemas.microsoft.com/office/drawing/2014/main" id="{00000000-0008-0000-0600-00002AE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66675</xdr:colOff>
          <xdr:row>34</xdr:row>
          <xdr:rowOff>76200</xdr:rowOff>
        </xdr:from>
        <xdr:to>
          <xdr:col>0</xdr:col>
          <xdr:colOff>4457700</xdr:colOff>
          <xdr:row>34</xdr:row>
          <xdr:rowOff>504825</xdr:rowOff>
        </xdr:to>
        <xdr:sp macro="" textlink="">
          <xdr:nvSpPr>
            <xdr:cNvPr id="58407" name="CommandButton1" hidden="1">
              <a:extLst>
                <a:ext uri="{63B3BB69-23CF-44E3-9099-C40C66FF867C}">
                  <a14:compatExt spid="_x0000_s58407"/>
                </a:ext>
                <a:ext uri="{FF2B5EF4-FFF2-40B4-BE49-F238E27FC236}">
                  <a16:creationId xmlns:a16="http://schemas.microsoft.com/office/drawing/2014/main" id="{00000000-0008-0000-0700-000027E40000}"/>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66675</xdr:colOff>
          <xdr:row>34</xdr:row>
          <xdr:rowOff>533400</xdr:rowOff>
        </xdr:from>
        <xdr:to>
          <xdr:col>0</xdr:col>
          <xdr:colOff>4457700</xdr:colOff>
          <xdr:row>34</xdr:row>
          <xdr:rowOff>962025</xdr:rowOff>
        </xdr:to>
        <xdr:sp macro="" textlink="">
          <xdr:nvSpPr>
            <xdr:cNvPr id="58408" name="CommandButton2" hidden="1">
              <a:extLst>
                <a:ext uri="{63B3BB69-23CF-44E3-9099-C40C66FF867C}">
                  <a14:compatExt spid="_x0000_s58408"/>
                </a:ext>
                <a:ext uri="{FF2B5EF4-FFF2-40B4-BE49-F238E27FC236}">
                  <a16:creationId xmlns:a16="http://schemas.microsoft.com/office/drawing/2014/main" id="{00000000-0008-0000-0700-000028E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66675</xdr:colOff>
          <xdr:row>34</xdr:row>
          <xdr:rowOff>76200</xdr:rowOff>
        </xdr:from>
        <xdr:to>
          <xdr:col>0</xdr:col>
          <xdr:colOff>4457700</xdr:colOff>
          <xdr:row>34</xdr:row>
          <xdr:rowOff>504825</xdr:rowOff>
        </xdr:to>
        <xdr:sp macro="" textlink="">
          <xdr:nvSpPr>
            <xdr:cNvPr id="59431" name="CommandButton1" hidden="1">
              <a:extLst>
                <a:ext uri="{63B3BB69-23CF-44E3-9099-C40C66FF867C}">
                  <a14:compatExt spid="_x0000_s59431"/>
                </a:ext>
                <a:ext uri="{FF2B5EF4-FFF2-40B4-BE49-F238E27FC236}">
                  <a16:creationId xmlns:a16="http://schemas.microsoft.com/office/drawing/2014/main" id="{00000000-0008-0000-0800-000027E80000}"/>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66675</xdr:colOff>
          <xdr:row>34</xdr:row>
          <xdr:rowOff>533400</xdr:rowOff>
        </xdr:from>
        <xdr:to>
          <xdr:col>0</xdr:col>
          <xdr:colOff>4457700</xdr:colOff>
          <xdr:row>34</xdr:row>
          <xdr:rowOff>962025</xdr:rowOff>
        </xdr:to>
        <xdr:sp macro="" textlink="">
          <xdr:nvSpPr>
            <xdr:cNvPr id="59432" name="CommandButton2" hidden="1">
              <a:extLst>
                <a:ext uri="{63B3BB69-23CF-44E3-9099-C40C66FF867C}">
                  <a14:compatExt spid="_x0000_s59432"/>
                </a:ext>
                <a:ext uri="{FF2B5EF4-FFF2-40B4-BE49-F238E27FC236}">
                  <a16:creationId xmlns:a16="http://schemas.microsoft.com/office/drawing/2014/main" id="{00000000-0008-0000-0800-000028E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66675</xdr:colOff>
          <xdr:row>34</xdr:row>
          <xdr:rowOff>76200</xdr:rowOff>
        </xdr:from>
        <xdr:to>
          <xdr:col>0</xdr:col>
          <xdr:colOff>4457700</xdr:colOff>
          <xdr:row>34</xdr:row>
          <xdr:rowOff>504825</xdr:rowOff>
        </xdr:to>
        <xdr:sp macro="" textlink="">
          <xdr:nvSpPr>
            <xdr:cNvPr id="60459" name="CommandButton1" hidden="1">
              <a:extLst>
                <a:ext uri="{63B3BB69-23CF-44E3-9099-C40C66FF867C}">
                  <a14:compatExt spid="_x0000_s60459"/>
                </a:ext>
                <a:ext uri="{FF2B5EF4-FFF2-40B4-BE49-F238E27FC236}">
                  <a16:creationId xmlns:a16="http://schemas.microsoft.com/office/drawing/2014/main" id="{00000000-0008-0000-0900-00002BEC0000}"/>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66675</xdr:colOff>
          <xdr:row>34</xdr:row>
          <xdr:rowOff>533400</xdr:rowOff>
        </xdr:from>
        <xdr:to>
          <xdr:col>0</xdr:col>
          <xdr:colOff>4457700</xdr:colOff>
          <xdr:row>34</xdr:row>
          <xdr:rowOff>962025</xdr:rowOff>
        </xdr:to>
        <xdr:sp macro="" textlink="">
          <xdr:nvSpPr>
            <xdr:cNvPr id="60460" name="CommandButton2" hidden="1">
              <a:extLst>
                <a:ext uri="{63B3BB69-23CF-44E3-9099-C40C66FF867C}">
                  <a14:compatExt spid="_x0000_s60460"/>
                </a:ext>
                <a:ext uri="{FF2B5EF4-FFF2-40B4-BE49-F238E27FC236}">
                  <a16:creationId xmlns:a16="http://schemas.microsoft.com/office/drawing/2014/main" id="{00000000-0008-0000-0900-00002CE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HSmL" displayName="HSmL" ref="A37:AE49" totalsRowShown="0" headerRowDxfId="529" dataDxfId="527" headerRowBorderDxfId="528" tableBorderDxfId="526">
  <autoFilter ref="A37:AE49" xr:uid="{00000000-0009-0000-0100-000001000000}"/>
  <tableColumns count="31">
    <tableColumn id="1" xr3:uid="{00000000-0010-0000-0000-000001000000}" name="Spalte1" dataDxfId="525"/>
    <tableColumn id="2" xr3:uid="{00000000-0010-0000-0000-000002000000}" name="Spalte2" dataDxfId="524"/>
    <tableColumn id="3" xr3:uid="{00000000-0010-0000-0000-000003000000}" name="Spalte3" dataDxfId="523"/>
    <tableColumn id="4" xr3:uid="{00000000-0010-0000-0000-000004000000}" name="Spalte4" dataDxfId="522"/>
    <tableColumn id="5" xr3:uid="{00000000-0010-0000-0000-000005000000}" name="Spalte5" dataDxfId="521">
      <calculatedColumnFormula>D38*$C$14</calculatedColumnFormula>
    </tableColumn>
    <tableColumn id="6" xr3:uid="{00000000-0010-0000-0000-000006000000}" name="Spalte6" dataDxfId="520"/>
    <tableColumn id="7" xr3:uid="{00000000-0010-0000-0000-000007000000}" name="Spalte7" dataDxfId="519"/>
    <tableColumn id="8" xr3:uid="{00000000-0010-0000-0000-000008000000}" name="Spalte8" dataDxfId="518">
      <calculatedColumnFormula>IF(F38="j",D38/Allgemeines!$B$30*$C$29,G38)</calculatedColumnFormula>
    </tableColumn>
    <tableColumn id="9" xr3:uid="{00000000-0010-0000-0000-000009000000}" name="Spalte9" dataDxfId="517" dataCellStyle="Prozent">
      <calculatedColumnFormula>H38*$C$31</calculatedColumnFormula>
    </tableColumn>
    <tableColumn id="10" xr3:uid="{00000000-0010-0000-0000-00000A000000}" name="Spalte10" dataDxfId="516">
      <calculatedColumnFormula>IF(AND(F38&lt;&gt;"",B38="Rückspeisung eN",Allgemeines!$B$29&lt;=2028),$J$21,0)
+IF(AND(F38&lt;&gt;"",OR(B38="EEG-nvol",B38="KWKG",B38="Sonstige-nvol"),AND(OR(C38="&lt;= 2022",C38&lt;=2022),Allgemeines!$B$29&lt;=2025)),1,0)
+IF(AND(F38&lt;&gt;"",OR(B38="EEG-nvol",B38="KWKG",B38="Sonstige-nvol"),AND(OR(C38="&lt;= 2022",C38&lt;=2022),Allgemeines!$B$29&gt;=2026)),1-(Allgemeines!$B$29-2025)/4,0)
+IF(AND(F38&lt;&gt;"",OR(B38="EEG-vol",B38="Sonstige-vol"),OR(C38="&lt;= 2017",C38&lt;=2017),C38&gt;1900),MIN(1,MAX(0,1-(Allgemeines!$B$29-2017)/3)),0)</calculatedColumnFormula>
    </tableColumn>
    <tableColumn id="11" xr3:uid="{00000000-0010-0000-0000-00000B000000}" name="Spalte11" dataDxfId="515">
      <calculatedColumnFormula>IF(B38="Rückspeisung eN",$K$21,J38)</calculatedColumnFormula>
    </tableColumn>
    <tableColumn id="12" xr3:uid="{00000000-0010-0000-0000-00000C000000}" name="Spalte12" dataDxfId="514" dataCellStyle="Prozent"/>
    <tableColumn id="13" xr3:uid="{00000000-0010-0000-0000-00000D000000}" name="Spalte13" dataDxfId="513">
      <calculatedColumnFormula>IF(MAX($AE38,$AB38)&gt;0,
IF($AE38&lt;$AB38,"R","A"),"")</calculatedColumnFormula>
    </tableColumn>
    <tableColumn id="14" xr3:uid="{00000000-0010-0000-0000-00000E000000}" name="Spalte14" dataDxfId="512">
      <calculatedColumnFormula>IF($AE38&lt;$AB38,AC38,Z38)</calculatedColumnFormula>
    </tableColumn>
    <tableColumn id="15" xr3:uid="{00000000-0010-0000-0000-00000F000000}" name="Spalte15" dataDxfId="511">
      <calculatedColumnFormula>IF($AE38&lt;$AB38,AD38,AA38)</calculatedColumnFormula>
    </tableColumn>
    <tableColumn id="16" xr3:uid="{00000000-0010-0000-0000-000010000000}" name="Spalte16" dataDxfId="510">
      <calculatedColumnFormula>D38*J38</calculatedColumnFormula>
    </tableColumn>
    <tableColumn id="17" xr3:uid="{00000000-0010-0000-0000-000011000000}" name="Spalte17" dataDxfId="509">
      <calculatedColumnFormula>IF($P$69&gt;0,$V$15*P38/$P$69,0)</calculatedColumnFormula>
    </tableColumn>
    <tableColumn id="18" xr3:uid="{00000000-0010-0000-0000-000012000000}" name="Spalte18" dataDxfId="508"/>
    <tableColumn id="19" xr3:uid="{00000000-0010-0000-0000-000013000000}" name="Spalte19" dataDxfId="507">
      <calculatedColumnFormula>IF($F38="j",$D38/Allgemeines!$B$30*W$25,R38)*$K38</calculatedColumnFormula>
    </tableColumn>
    <tableColumn id="20" xr3:uid="{00000000-0010-0000-0000-000014000000}" name="Spalte20" dataDxfId="506">
      <calculatedColumnFormula>H38*K38</calculatedColumnFormula>
    </tableColumn>
    <tableColumn id="21" xr3:uid="{00000000-0010-0000-0000-000015000000}" name="Spalte21" dataDxfId="505">
      <calculatedColumnFormula>CHOOSE(RIGHT(U$35,1),P38,S38,T38)</calculatedColumnFormula>
    </tableColumn>
    <tableColumn id="22" xr3:uid="{00000000-0010-0000-0000-000016000000}" name="Spalte22" dataDxfId="504">
      <calculatedColumnFormula>IF($U$69&gt;0,$W$15*U38/$U$69,0)</calculatedColumnFormula>
    </tableColumn>
    <tableColumn id="31" xr3:uid="{00000000-0010-0000-0000-00001F000000}" name="Spalte222" dataDxfId="503"/>
    <tableColumn id="23" xr3:uid="{00000000-0010-0000-0000-000017000000}" name="Spalte23" dataDxfId="502">
      <calculatedColumnFormula>N38+Q38</calculatedColumnFormula>
    </tableColumn>
    <tableColumn id="24" xr3:uid="{00000000-0010-0000-0000-000018000000}" name="Spalte24" dataDxfId="501">
      <calculatedColumnFormula>O38+V38</calculatedColumnFormula>
    </tableColumn>
    <tableColumn id="25" xr3:uid="{00000000-0010-0000-0000-000019000000}" name="Spalte25" dataDxfId="500">
      <calculatedColumnFormula>IF(L38&lt;&gt;0,E38*M$27/100*$J38,0)</calculatedColumnFormula>
    </tableColumn>
    <tableColumn id="26" xr3:uid="{00000000-0010-0000-0000-00001A000000}" name="Spalte26" dataDxfId="499">
      <calculatedColumnFormula>IF(AND(F38&lt;&gt;"",L38&lt;&gt;0),I38*N$27*$K38,0)</calculatedColumnFormula>
    </tableColumn>
    <tableColumn id="27" xr3:uid="{00000000-0010-0000-0000-00001B000000}" name="Spalte27" dataDxfId="498">
      <calculatedColumnFormula>Z38+AA38</calculatedColumnFormula>
    </tableColumn>
    <tableColumn id="28" xr3:uid="{00000000-0010-0000-0000-00001C000000}" name="Spalte28" dataDxfId="497">
      <calculatedColumnFormula>IF(L38&lt;&gt;"",E38*IFERROR(VLOOKUP(L38,$L$28:$N$32,2,FALSE),0)/100*$J38,0)</calculatedColumnFormula>
    </tableColumn>
    <tableColumn id="29" xr3:uid="{00000000-0010-0000-0000-00001D000000}" name="Spalte29" dataDxfId="496">
      <calculatedColumnFormula>IF(AND(F38&lt;&gt;"",L38&lt;&gt;""),I38*IFERROR(VLOOKUP(L38,$L$28:$N$32,3,FALSE),0)*$K38,0)</calculatedColumnFormula>
    </tableColumn>
    <tableColumn id="30" xr3:uid="{00000000-0010-0000-0000-00001E000000}" name="Spalte30" dataDxfId="495">
      <calculatedColumnFormula>AC38+AD38</calculatedColumnFormula>
    </tableColumn>
  </tableColumns>
  <tableStyleInfo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9000000}" name="NSoL" displayName="NSoL" ref="A52:AE64" totalsRowShown="0" headerRowDxfId="37" dataDxfId="35" headerRowBorderDxfId="36" tableBorderDxfId="34">
  <autoFilter ref="A52:AE64" xr:uid="{00000000-0009-0000-0100-00000A000000}"/>
  <tableColumns count="31">
    <tableColumn id="1" xr3:uid="{00000000-0010-0000-0900-000001000000}" name="Spalte1" dataDxfId="33"/>
    <tableColumn id="2" xr3:uid="{00000000-0010-0000-0900-000002000000}" name="Spalte2" dataDxfId="32"/>
    <tableColumn id="3" xr3:uid="{00000000-0010-0000-0900-000003000000}" name="Spalte3" dataDxfId="31" dataCellStyle="Standard 9"/>
    <tableColumn id="4" xr3:uid="{00000000-0010-0000-0900-000004000000}" name="Spalte4" dataDxfId="30"/>
    <tableColumn id="5" xr3:uid="{00000000-0010-0000-0900-000005000000}" name="Spalte5" dataDxfId="29">
      <calculatedColumnFormula>D53*$C$14</calculatedColumnFormula>
    </tableColumn>
    <tableColumn id="6" xr3:uid="{00000000-0010-0000-0900-000006000000}" name="Spalte6" dataDxfId="28">
      <calculatedColumnFormula>"j"</calculatedColumnFormula>
    </tableColumn>
    <tableColumn id="7" xr3:uid="{00000000-0010-0000-0900-000007000000}" name="Spalte7" dataDxfId="27"/>
    <tableColumn id="8" xr3:uid="{00000000-0010-0000-0900-000008000000}" name="Spalte8" dataDxfId="26">
      <calculatedColumnFormula>IF(F53="j",D53/Allgemeines!$B$30*$C$30,G53)</calculatedColumnFormula>
    </tableColumn>
    <tableColumn id="9" xr3:uid="{00000000-0010-0000-0900-000009000000}" name="Spalte9" dataDxfId="25" dataCellStyle="Prozent">
      <calculatedColumnFormula>H53*$C$31</calculatedColumnFormula>
    </tableColumn>
    <tableColumn id="10" xr3:uid="{00000000-0010-0000-0900-00000A000000}" name="Spalte10" dataDxfId="24" dataCellStyle="Prozent">
      <calculatedColumnFormula>IF(AND(F53&lt;&gt;"",B53="Rückspeisung eN",Allgemeines!$B$29&lt;=2028),$J$21,0)
+IF(AND(F53&lt;&gt;"",OR(B53="EEG-nvol",B53="KWKG",B53="Sonstige-nvol"),AND(OR(C53="&lt;= 2022",C53&lt;=2022),Allgemeines!$B$29&lt;=2025)),1,0)
+IF(AND(F53&lt;&gt;"",OR(B53="EEG-nvol",B53="KWKG",B53="Sonstige-nvol"),AND(OR(C53="&lt;= 2022",C53&lt;=2022),Allgemeines!$B$29&gt;=2026)),MIN(1,MAX(0,1-(Allgemeines!$B$29-2025)/4)),0)
+IF(AND(F53&lt;&gt;"",OR(B53="EEG-vol",B53="Sonstige-vol"),OR(C53="&lt;= 2017",C53&lt;=2017),C53&gt;1900),MIN(1,MAX(0,1-(Allgemeines!$B$29-2017)/3)),0)</calculatedColumnFormula>
    </tableColumn>
    <tableColumn id="11" xr3:uid="{00000000-0010-0000-0900-00000B000000}" name="Spalte11" dataDxfId="23" dataCellStyle="Prozent">
      <calculatedColumnFormula>IF(B53="Rückspeisung eN",$K$21,J53)</calculatedColumnFormula>
    </tableColumn>
    <tableColumn id="12" xr3:uid="{00000000-0010-0000-0900-00000C000000}" name="Spalte12" dataDxfId="22" dataCellStyle="Prozent"/>
    <tableColumn id="13" xr3:uid="{00000000-0010-0000-0900-00000D000000}" name="Spalte13" dataDxfId="21" dataCellStyle="Prozent">
      <calculatedColumnFormula>IF(MAX($AE53,$AB53)&gt;0,
IF($AE53&lt;$AB53,"R","A"),"")</calculatedColumnFormula>
    </tableColumn>
    <tableColumn id="14" xr3:uid="{00000000-0010-0000-0900-00000E000000}" name="Spalte14" dataDxfId="20" dataCellStyle="Prozent">
      <calculatedColumnFormula>IF($AE53&lt;$AB53,AC53,Z53)</calculatedColumnFormula>
    </tableColumn>
    <tableColumn id="15" xr3:uid="{00000000-0010-0000-0900-00000F000000}" name="Spalte15" dataDxfId="19"/>
    <tableColumn id="16" xr3:uid="{00000000-0010-0000-0900-000010000000}" name="Spalte16" dataDxfId="18">
      <calculatedColumnFormula>D53*J53</calculatedColumnFormula>
    </tableColumn>
    <tableColumn id="17" xr3:uid="{00000000-0010-0000-0900-000011000000}" name="Spalte17" dataDxfId="17">
      <calculatedColumnFormula>IF($P$69&gt;0,$V$15*P53/$P$69,0)</calculatedColumnFormula>
    </tableColumn>
    <tableColumn id="18" xr3:uid="{00000000-0010-0000-0900-000012000000}" name="Spalte18" dataDxfId="16"/>
    <tableColumn id="19" xr3:uid="{00000000-0010-0000-0900-000013000000}" name="Spalte19" dataDxfId="15">
      <calculatedColumnFormula>IF($F53="j",$D53/Allgemeines!$B$30*W$26,R53)*$K53</calculatedColumnFormula>
    </tableColumn>
    <tableColumn id="20" xr3:uid="{00000000-0010-0000-0900-000014000000}" name="Spalte20" dataDxfId="14">
      <calculatedColumnFormula>H53*K53</calculatedColumnFormula>
    </tableColumn>
    <tableColumn id="21" xr3:uid="{00000000-0010-0000-0900-000015000000}" name="Spalte21" dataDxfId="13">
      <calculatedColumnFormula>CHOOSE(RIGHT(U$35,1),P53,S53,T53)</calculatedColumnFormula>
    </tableColumn>
    <tableColumn id="22" xr3:uid="{00000000-0010-0000-0900-000016000000}" name="Spalte22" dataDxfId="12"/>
    <tableColumn id="31" xr3:uid="{00000000-0010-0000-0900-00001F000000}" name="Spalte222" dataDxfId="11"/>
    <tableColumn id="23" xr3:uid="{00000000-0010-0000-0900-000017000000}" name="Spalte23" dataDxfId="10">
      <calculatedColumnFormula>N53+Q53</calculatedColumnFormula>
    </tableColumn>
    <tableColumn id="24" xr3:uid="{00000000-0010-0000-0900-000018000000}" name="Spalte24" dataDxfId="9"/>
    <tableColumn id="25" xr3:uid="{00000000-0010-0000-0900-000019000000}" name="Spalte25" dataDxfId="8" dataCellStyle="Prozent">
      <calculatedColumnFormula>IF(L53&lt;&gt;0,E53*M$27/100*$J53,0)</calculatedColumnFormula>
    </tableColumn>
    <tableColumn id="26" xr3:uid="{00000000-0010-0000-0900-00001A000000}" name="Spalte26" dataDxfId="7"/>
    <tableColumn id="27" xr3:uid="{00000000-0010-0000-0900-00001B000000}" name="Spalte27" dataDxfId="6">
      <calculatedColumnFormula>Z53+AA53</calculatedColumnFormula>
    </tableColumn>
    <tableColumn id="28" xr3:uid="{00000000-0010-0000-0900-00001C000000}" name="Spalte28" dataDxfId="5" dataCellStyle="Prozent">
      <calculatedColumnFormula>IF(L53&lt;&gt;"",E53*IFERROR(VLOOKUP(L53,$L$28:$N$32,2,FALSE),0)/100*$J53,0)</calculatedColumnFormula>
    </tableColumn>
    <tableColumn id="29" xr3:uid="{00000000-0010-0000-0900-00001D000000}" name="Spalte29" dataDxfId="4"/>
    <tableColumn id="30" xr3:uid="{00000000-0010-0000-0900-00001E000000}" name="Spalte30" dataDxfId="3">
      <calculatedColumnFormula>AC53+AD53</calculatedColumnFormula>
    </tableColumn>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HSoL" displayName="HSoL" ref="A52:AE64" totalsRowShown="0" headerRowDxfId="494" dataDxfId="492" headerRowBorderDxfId="493" tableBorderDxfId="491">
  <autoFilter ref="A52:AE64" xr:uid="{00000000-0009-0000-0100-000002000000}"/>
  <tableColumns count="31">
    <tableColumn id="1" xr3:uid="{00000000-0010-0000-0100-000001000000}" name="Spalte1" dataDxfId="490"/>
    <tableColumn id="2" xr3:uid="{00000000-0010-0000-0100-000002000000}" name="Spalte2" dataDxfId="489"/>
    <tableColumn id="3" xr3:uid="{00000000-0010-0000-0100-000003000000}" name="Spalte3" dataDxfId="488" dataCellStyle="Standard 9"/>
    <tableColumn id="4" xr3:uid="{00000000-0010-0000-0100-000004000000}" name="Spalte4" dataDxfId="487"/>
    <tableColumn id="5" xr3:uid="{00000000-0010-0000-0100-000005000000}" name="Spalte5" dataDxfId="486">
      <calculatedColumnFormula>D53*$C$14</calculatedColumnFormula>
    </tableColumn>
    <tableColumn id="6" xr3:uid="{00000000-0010-0000-0100-000006000000}" name="Spalte6" dataDxfId="485">
      <calculatedColumnFormula>"j"</calculatedColumnFormula>
    </tableColumn>
    <tableColumn id="7" xr3:uid="{00000000-0010-0000-0100-000007000000}" name="Spalte7" dataDxfId="484"/>
    <tableColumn id="8" xr3:uid="{00000000-0010-0000-0100-000008000000}" name="Spalte8" dataDxfId="483">
      <calculatedColumnFormula>IF(F53="j",D53/Allgemeines!$B$30*$C$30,G53)</calculatedColumnFormula>
    </tableColumn>
    <tableColumn id="9" xr3:uid="{00000000-0010-0000-0100-000009000000}" name="Spalte9" dataDxfId="482" dataCellStyle="Prozent">
      <calculatedColumnFormula>H53*$C$31</calculatedColumnFormula>
    </tableColumn>
    <tableColumn id="10" xr3:uid="{00000000-0010-0000-0100-00000A000000}" name="Spalte10" dataDxfId="481" dataCellStyle="Prozent">
      <calculatedColumnFormula>IF(AND(F53&lt;&gt;"",B53="Rückspeisung eN",Allgemeines!$B$29&lt;=2028),$J$21,0)
+IF(AND(F53&lt;&gt;"",OR(B53="EEG-nvol",B53="KWKG",B53="Sonstige-nvol"),AND(OR(C53="&lt;= 2022",C53&lt;=2022),Allgemeines!$B$29&lt;=2025)),1,0)
+IF(AND(F53&lt;&gt;"",OR(B53="EEG-nvol",B53="KWKG",B53="Sonstige-nvol"),AND(OR(C53="&lt;= 2022",C53&lt;=2022),Allgemeines!$B$29&gt;=2026)),MIN(1,MAX(0,1-(Allgemeines!$B$29-2025)/4)),0)
+IF(AND(F53&lt;&gt;"",OR(B53="EEG-vol",B53="Sonstige-vol"),OR(C53="&lt;= 2017",C53&lt;=2017),C53&gt;1900),MIN(1,MAX(0,1-(Allgemeines!$B$29-2017)/3)),0)</calculatedColumnFormula>
    </tableColumn>
    <tableColumn id="11" xr3:uid="{00000000-0010-0000-0100-00000B000000}" name="Spalte11" dataDxfId="480" dataCellStyle="Prozent">
      <calculatedColumnFormula>IF(B53="Rückspeisung eN",$K$21,J53)</calculatedColumnFormula>
    </tableColumn>
    <tableColumn id="12" xr3:uid="{00000000-0010-0000-0100-00000C000000}" name="Spalte12" dataDxfId="479" dataCellStyle="Prozent"/>
    <tableColumn id="13" xr3:uid="{00000000-0010-0000-0100-00000D000000}" name="Spalte13" dataDxfId="478" dataCellStyle="Prozent">
      <calculatedColumnFormula>IF(MAX($AE53,$AB53)&gt;0,
IF($AE53&lt;$AB53,"R","A"),"")</calculatedColumnFormula>
    </tableColumn>
    <tableColumn id="14" xr3:uid="{00000000-0010-0000-0100-00000E000000}" name="Spalte14" dataDxfId="477" dataCellStyle="Prozent">
      <calculatedColumnFormula>IF($AE53&lt;$AB53,AC53,Z53)</calculatedColumnFormula>
    </tableColumn>
    <tableColumn id="15" xr3:uid="{00000000-0010-0000-0100-00000F000000}" name="Spalte15" dataDxfId="476"/>
    <tableColumn id="16" xr3:uid="{00000000-0010-0000-0100-000010000000}" name="Spalte16" dataDxfId="475">
      <calculatedColumnFormula>D53*J53</calculatedColumnFormula>
    </tableColumn>
    <tableColumn id="17" xr3:uid="{00000000-0010-0000-0100-000011000000}" name="Spalte17" dataDxfId="474">
      <calculatedColumnFormula>IF($P$69&gt;0,$V$15*P53/$P$69,0)</calculatedColumnFormula>
    </tableColumn>
    <tableColumn id="18" xr3:uid="{00000000-0010-0000-0100-000012000000}" name="Spalte18" dataDxfId="473"/>
    <tableColumn id="19" xr3:uid="{00000000-0010-0000-0100-000013000000}" name="Spalte19" dataDxfId="472">
      <calculatedColumnFormula>IF($F53="j",$D53/Allgemeines!$B$30*W$26,R53)*$K53</calculatedColumnFormula>
    </tableColumn>
    <tableColumn id="20" xr3:uid="{00000000-0010-0000-0100-000014000000}" name="Spalte20" dataDxfId="471">
      <calculatedColumnFormula>H53*K53</calculatedColumnFormula>
    </tableColumn>
    <tableColumn id="21" xr3:uid="{00000000-0010-0000-0100-000015000000}" name="Spalte21" dataDxfId="470">
      <calculatedColumnFormula>CHOOSE(RIGHT(U$35,1),P53,S53,T53)</calculatedColumnFormula>
    </tableColumn>
    <tableColumn id="22" xr3:uid="{00000000-0010-0000-0100-000016000000}" name="Spalte22" dataDxfId="469"/>
    <tableColumn id="31" xr3:uid="{00000000-0010-0000-0100-00001F000000}" name="Spalte222" dataDxfId="468"/>
    <tableColumn id="23" xr3:uid="{00000000-0010-0000-0100-000017000000}" name="Spalte23" dataDxfId="467">
      <calculatedColumnFormula>N53+Q53</calculatedColumnFormula>
    </tableColumn>
    <tableColumn id="24" xr3:uid="{00000000-0010-0000-0100-000018000000}" name="Spalte24" dataDxfId="466"/>
    <tableColumn id="25" xr3:uid="{00000000-0010-0000-0100-000019000000}" name="Spalte25" dataDxfId="465" dataCellStyle="Prozent">
      <calculatedColumnFormula>IF(L53&lt;&gt;0,E53*M$27/100*$J53,0)</calculatedColumnFormula>
    </tableColumn>
    <tableColumn id="26" xr3:uid="{00000000-0010-0000-0100-00001A000000}" name="Spalte26" dataDxfId="464"/>
    <tableColumn id="27" xr3:uid="{00000000-0010-0000-0100-00001B000000}" name="Spalte27" dataDxfId="463">
      <calculatedColumnFormula>Z53+AA53</calculatedColumnFormula>
    </tableColumn>
    <tableColumn id="28" xr3:uid="{00000000-0010-0000-0100-00001C000000}" name="Spalte28" dataDxfId="462" dataCellStyle="Prozent">
      <calculatedColumnFormula>IF(L53&lt;&gt;"",E53*IFERROR(VLOOKUP(L53,$L$28:$N$32,2,FALSE),0)/100*$J53,0)</calculatedColumnFormula>
    </tableColumn>
    <tableColumn id="29" xr3:uid="{00000000-0010-0000-0100-00001D000000}" name="Spalte29" dataDxfId="461"/>
    <tableColumn id="30" xr3:uid="{00000000-0010-0000-0100-00001E000000}" name="Spalte30" dataDxfId="460">
      <calculatedColumnFormula>AC53+AD53</calculatedColumnFormula>
    </tableColumn>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HMmL" displayName="HMmL" ref="A37:AE49" totalsRowShown="0" headerRowDxfId="415" dataDxfId="413" headerRowBorderDxfId="414" tableBorderDxfId="412">
  <autoFilter ref="A37:AE49" xr:uid="{00000000-0009-0000-0100-000003000000}"/>
  <tableColumns count="31">
    <tableColumn id="1" xr3:uid="{00000000-0010-0000-0200-000001000000}" name="Spalte1" dataDxfId="411"/>
    <tableColumn id="2" xr3:uid="{00000000-0010-0000-0200-000002000000}" name="Spalte2" dataDxfId="410"/>
    <tableColumn id="3" xr3:uid="{00000000-0010-0000-0200-000003000000}" name="Spalte3" dataDxfId="409"/>
    <tableColumn id="4" xr3:uid="{00000000-0010-0000-0200-000004000000}" name="Spalte4" dataDxfId="408"/>
    <tableColumn id="5" xr3:uid="{00000000-0010-0000-0200-000005000000}" name="Spalte5" dataDxfId="407">
      <calculatedColumnFormula>D38*$C$14</calculatedColumnFormula>
    </tableColumn>
    <tableColumn id="6" xr3:uid="{00000000-0010-0000-0200-000006000000}" name="Spalte6" dataDxfId="406"/>
    <tableColumn id="7" xr3:uid="{00000000-0010-0000-0200-000007000000}" name="Spalte7" dataDxfId="405"/>
    <tableColumn id="8" xr3:uid="{00000000-0010-0000-0200-000008000000}" name="Spalte8" dataDxfId="404">
      <calculatedColumnFormula>IF(F38="j",D38/Allgemeines!$B$30*$C$29,G38)</calculatedColumnFormula>
    </tableColumn>
    <tableColumn id="9" xr3:uid="{00000000-0010-0000-0200-000009000000}" name="Spalte9" dataDxfId="403" dataCellStyle="Prozent">
      <calculatedColumnFormula>H38*$C$31</calculatedColumnFormula>
    </tableColumn>
    <tableColumn id="10" xr3:uid="{00000000-0010-0000-0200-00000A000000}" name="Spalte10" dataDxfId="402">
      <calculatedColumnFormula>IF(AND(F38&lt;&gt;"",B38="Rückspeisung eN",Allgemeines!$B$29&lt;=2028),$J$21,0)
+IF(AND(F38&lt;&gt;"",OR(B38="EEG-nvol",B38="KWKG",B38="Sonstige-nvol"),AND(OR(C38="&lt;= 2022",C38&lt;=2022),Allgemeines!$B$29&lt;=2025)),1,0)
+IF(AND(F38&lt;&gt;"",OR(B38="EEG-nvol",B38="KWKG",B38="Sonstige-nvol"),AND(OR(C38="&lt;= 2022",C38&lt;=2022),Allgemeines!$B$29&gt;=2026)),1-(Allgemeines!$B$29-2025)/4,0)
+IF(AND(F38&lt;&gt;"",OR(B38="EEG-vol",B38="Sonstige-vol"),OR(C38="&lt;= 2017",C38&lt;=2017),C38&gt;1900),MIN(1,MAX(0,1-(Allgemeines!$B$29-2017)/3)),0)</calculatedColumnFormula>
    </tableColumn>
    <tableColumn id="11" xr3:uid="{00000000-0010-0000-0200-00000B000000}" name="Spalte11" dataDxfId="401">
      <calculatedColumnFormula>IF(B38="Rückspeisung eN",$K$21,J38)</calculatedColumnFormula>
    </tableColumn>
    <tableColumn id="12" xr3:uid="{00000000-0010-0000-0200-00000C000000}" name="Spalte12" dataDxfId="400" dataCellStyle="Prozent"/>
    <tableColumn id="13" xr3:uid="{00000000-0010-0000-0200-00000D000000}" name="Spalte13" dataDxfId="399">
      <calculatedColumnFormula>IF(MAX($AE38,$AB38)&gt;0,
IF($AE38&lt;$AB38,"R","A"),"")</calculatedColumnFormula>
    </tableColumn>
    <tableColumn id="14" xr3:uid="{00000000-0010-0000-0200-00000E000000}" name="Spalte14" dataDxfId="398">
      <calculatedColumnFormula>IF($AE38&lt;$AB38,AC38,Z38)</calculatedColumnFormula>
    </tableColumn>
    <tableColumn id="15" xr3:uid="{00000000-0010-0000-0200-00000F000000}" name="Spalte15" dataDxfId="397">
      <calculatedColumnFormula>IF($AE38&lt;$AB38,AD38,AA38)</calculatedColumnFormula>
    </tableColumn>
    <tableColumn id="16" xr3:uid="{00000000-0010-0000-0200-000010000000}" name="Spalte16" dataDxfId="396">
      <calculatedColumnFormula>D38*J38</calculatedColumnFormula>
    </tableColumn>
    <tableColumn id="17" xr3:uid="{00000000-0010-0000-0200-000011000000}" name="Spalte17" dataDxfId="395">
      <calculatedColumnFormula>IF($P$69&gt;0,$V$15*P38/$P$69,0)</calculatedColumnFormula>
    </tableColumn>
    <tableColumn id="18" xr3:uid="{00000000-0010-0000-0200-000012000000}" name="Spalte18" dataDxfId="394"/>
    <tableColumn id="19" xr3:uid="{00000000-0010-0000-0200-000013000000}" name="Spalte19" dataDxfId="393">
      <calculatedColumnFormula>IF($F38="j",$D38/Allgemeines!$B$30*W$25,R38)*$K38</calculatedColumnFormula>
    </tableColumn>
    <tableColumn id="20" xr3:uid="{00000000-0010-0000-0200-000014000000}" name="Spalte20" dataDxfId="392">
      <calculatedColumnFormula>H38*K38</calculatedColumnFormula>
    </tableColumn>
    <tableColumn id="21" xr3:uid="{00000000-0010-0000-0200-000015000000}" name="Spalte21" dataDxfId="391">
      <calculatedColumnFormula>CHOOSE(RIGHT(U$35,1),P38,S38,T38)</calculatedColumnFormula>
    </tableColumn>
    <tableColumn id="22" xr3:uid="{00000000-0010-0000-0200-000016000000}" name="Spalte22" dataDxfId="390">
      <calculatedColumnFormula>IF($U$69&gt;0,$W$15*U38/$U$69,0)</calculatedColumnFormula>
    </tableColumn>
    <tableColumn id="31" xr3:uid="{00000000-0010-0000-0200-00001F000000}" name="Spalte222" dataDxfId="389"/>
    <tableColumn id="23" xr3:uid="{00000000-0010-0000-0200-000017000000}" name="Spalte23" dataDxfId="388">
      <calculatedColumnFormula>N38+Q38</calculatedColumnFormula>
    </tableColumn>
    <tableColumn id="24" xr3:uid="{00000000-0010-0000-0200-000018000000}" name="Spalte24" dataDxfId="387">
      <calculatedColumnFormula>O38+V38</calculatedColumnFormula>
    </tableColumn>
    <tableColumn id="25" xr3:uid="{00000000-0010-0000-0200-000019000000}" name="Spalte25" dataDxfId="386">
      <calculatedColumnFormula>IF(L38&lt;&gt;0,E38*M$27/100*$J38,0)</calculatedColumnFormula>
    </tableColumn>
    <tableColumn id="26" xr3:uid="{00000000-0010-0000-0200-00001A000000}" name="Spalte26" dataDxfId="385">
      <calculatedColumnFormula>IF(AND(F38&lt;&gt;"",L38&lt;&gt;0),I38*N$27*$K38,0)</calculatedColumnFormula>
    </tableColumn>
    <tableColumn id="27" xr3:uid="{00000000-0010-0000-0200-00001B000000}" name="Spalte27" dataDxfId="384">
      <calculatedColumnFormula>Z38+AA38</calculatedColumnFormula>
    </tableColumn>
    <tableColumn id="28" xr3:uid="{00000000-0010-0000-0200-00001C000000}" name="Spalte28" dataDxfId="383">
      <calculatedColumnFormula>IF(L38&lt;&gt;"",E38*IFERROR(VLOOKUP(L38,$L$28:$N$32,2,FALSE),0)/100*$J38,0)</calculatedColumnFormula>
    </tableColumn>
    <tableColumn id="29" xr3:uid="{00000000-0010-0000-0200-00001D000000}" name="Spalte29" dataDxfId="382">
      <calculatedColumnFormula>IF(AND(F38&lt;&gt;"",L38&lt;&gt;""),I38*IFERROR(VLOOKUP(L38,$L$28:$N$32,3,FALSE),0)*$K38,0)</calculatedColumnFormula>
    </tableColumn>
    <tableColumn id="30" xr3:uid="{00000000-0010-0000-0200-00001E000000}" name="Spalte30" dataDxfId="381">
      <calculatedColumnFormula>AC38+AD38</calculatedColumnFormula>
    </tableColumn>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HMoL" displayName="HMoL" ref="A52:AE64" totalsRowShown="0" headerRowDxfId="380" dataDxfId="378" headerRowBorderDxfId="379" tableBorderDxfId="377">
  <autoFilter ref="A52:AE64" xr:uid="{00000000-0009-0000-0100-000004000000}"/>
  <tableColumns count="31">
    <tableColumn id="1" xr3:uid="{00000000-0010-0000-0300-000001000000}" name="Spalte1" dataDxfId="376"/>
    <tableColumn id="2" xr3:uid="{00000000-0010-0000-0300-000002000000}" name="Spalte2" dataDxfId="375"/>
    <tableColumn id="3" xr3:uid="{00000000-0010-0000-0300-000003000000}" name="Spalte3" dataDxfId="374" dataCellStyle="Standard 9"/>
    <tableColumn id="4" xr3:uid="{00000000-0010-0000-0300-000004000000}" name="Spalte4" dataDxfId="373"/>
    <tableColumn id="5" xr3:uid="{00000000-0010-0000-0300-000005000000}" name="Spalte5" dataDxfId="372">
      <calculatedColumnFormula>D53*$C$14</calculatedColumnFormula>
    </tableColumn>
    <tableColumn id="6" xr3:uid="{00000000-0010-0000-0300-000006000000}" name="Spalte6" dataDxfId="371">
      <calculatedColumnFormula>"j"</calculatedColumnFormula>
    </tableColumn>
    <tableColumn id="7" xr3:uid="{00000000-0010-0000-0300-000007000000}" name="Spalte7" dataDxfId="370"/>
    <tableColumn id="8" xr3:uid="{00000000-0010-0000-0300-000008000000}" name="Spalte8" dataDxfId="369">
      <calculatedColumnFormula>IF(F53="j",D53/Allgemeines!$B$30*$C$30,G53)</calculatedColumnFormula>
    </tableColumn>
    <tableColumn id="9" xr3:uid="{00000000-0010-0000-0300-000009000000}" name="Spalte9" dataDxfId="368" dataCellStyle="Prozent">
      <calculatedColumnFormula>H53*$C$31</calculatedColumnFormula>
    </tableColumn>
    <tableColumn id="10" xr3:uid="{00000000-0010-0000-0300-00000A000000}" name="Spalte10" dataDxfId="367" dataCellStyle="Prozent">
      <calculatedColumnFormula>IF(AND(F53&lt;&gt;"",B53="Rückspeisung eN",Allgemeines!$B$29&lt;=2028),$J$21,0)
+IF(AND(F53&lt;&gt;"",OR(B53="EEG-nvol",B53="KWKG",B53="Sonstige-nvol"),AND(OR(C53="&lt;= 2022",C53&lt;=2022),Allgemeines!$B$29&lt;=2025)),1,0)
+IF(AND(F53&lt;&gt;"",OR(B53="EEG-nvol",B53="KWKG",B53="Sonstige-nvol"),AND(OR(C53="&lt;= 2022",C53&lt;=2022),Allgemeines!$B$29&gt;=2026)),MIN(1,MAX(0,1-(Allgemeines!$B$29-2025)/4)),0)
+IF(AND(F53&lt;&gt;"",OR(B53="EEG-vol",B53="Sonstige-vol"),OR(C53="&lt;= 2017",C53&lt;=2017),C53&gt;1900),MIN(1,MAX(0,1-(Allgemeines!$B$29-2017)/3)),0)</calculatedColumnFormula>
    </tableColumn>
    <tableColumn id="11" xr3:uid="{00000000-0010-0000-0300-00000B000000}" name="Spalte11" dataDxfId="366" dataCellStyle="Prozent">
      <calculatedColumnFormula>IF(B53="Rückspeisung eN",$K$21,J53)</calculatedColumnFormula>
    </tableColumn>
    <tableColumn id="12" xr3:uid="{00000000-0010-0000-0300-00000C000000}" name="Spalte12" dataDxfId="365" dataCellStyle="Prozent"/>
    <tableColumn id="13" xr3:uid="{00000000-0010-0000-0300-00000D000000}" name="Spalte13" dataDxfId="364" dataCellStyle="Prozent">
      <calculatedColumnFormula>IF(MAX($AE53,$AB53)&gt;0,
IF($AE53&lt;$AB53,"R","A"),"")</calculatedColumnFormula>
    </tableColumn>
    <tableColumn id="14" xr3:uid="{00000000-0010-0000-0300-00000E000000}" name="Spalte14" dataDxfId="363" dataCellStyle="Prozent">
      <calculatedColumnFormula>IF($AE53&lt;$AB53,AC53,Z53)</calculatedColumnFormula>
    </tableColumn>
    <tableColumn id="15" xr3:uid="{00000000-0010-0000-0300-00000F000000}" name="Spalte15" dataDxfId="362"/>
    <tableColumn id="16" xr3:uid="{00000000-0010-0000-0300-000010000000}" name="Spalte16" dataDxfId="361">
      <calculatedColumnFormula>D53*J53</calculatedColumnFormula>
    </tableColumn>
    <tableColumn id="17" xr3:uid="{00000000-0010-0000-0300-000011000000}" name="Spalte17" dataDxfId="360">
      <calculatedColumnFormula>IF($P$69&gt;0,$V$15*P53/$P$69,0)</calculatedColumnFormula>
    </tableColumn>
    <tableColumn id="18" xr3:uid="{00000000-0010-0000-0300-000012000000}" name="Spalte18" dataDxfId="359"/>
    <tableColumn id="19" xr3:uid="{00000000-0010-0000-0300-000013000000}" name="Spalte19" dataDxfId="358">
      <calculatedColumnFormula>IF($F53="j",$D53/Allgemeines!$B$30*W$26,R53)*$K53</calculatedColumnFormula>
    </tableColumn>
    <tableColumn id="20" xr3:uid="{00000000-0010-0000-0300-000014000000}" name="Spalte20" dataDxfId="357">
      <calculatedColumnFormula>H53*K53</calculatedColumnFormula>
    </tableColumn>
    <tableColumn id="21" xr3:uid="{00000000-0010-0000-0300-000015000000}" name="Spalte21" dataDxfId="356">
      <calculatedColumnFormula>CHOOSE(RIGHT(U$35,1),P53,S53,T53)</calculatedColumnFormula>
    </tableColumn>
    <tableColumn id="22" xr3:uid="{00000000-0010-0000-0300-000016000000}" name="Spalte22" dataDxfId="355"/>
    <tableColumn id="31" xr3:uid="{00000000-0010-0000-0300-00001F000000}" name="Spalte222" dataDxfId="354"/>
    <tableColumn id="23" xr3:uid="{00000000-0010-0000-0300-000017000000}" name="Spalte23" dataDxfId="353">
      <calculatedColumnFormula>N53+Q53</calculatedColumnFormula>
    </tableColumn>
    <tableColumn id="24" xr3:uid="{00000000-0010-0000-0300-000018000000}" name="Spalte24" dataDxfId="352"/>
    <tableColumn id="25" xr3:uid="{00000000-0010-0000-0300-000019000000}" name="Spalte25" dataDxfId="351" dataCellStyle="Prozent">
      <calculatedColumnFormula>IF(L53&lt;&gt;0,E53*M$27/100*$J53,0)</calculatedColumnFormula>
    </tableColumn>
    <tableColumn id="26" xr3:uid="{00000000-0010-0000-0300-00001A000000}" name="Spalte26" dataDxfId="350"/>
    <tableColumn id="27" xr3:uid="{00000000-0010-0000-0300-00001B000000}" name="Spalte27" dataDxfId="349">
      <calculatedColumnFormula>Z53+AA53</calculatedColumnFormula>
    </tableColumn>
    <tableColumn id="28" xr3:uid="{00000000-0010-0000-0300-00001C000000}" name="Spalte28" dataDxfId="348" dataCellStyle="Prozent">
      <calculatedColumnFormula>IF(L53&lt;&gt;"",E53*IFERROR(VLOOKUP(L53,$L$28:$N$32,2,FALSE),0)/100*$J53,0)</calculatedColumnFormula>
    </tableColumn>
    <tableColumn id="29" xr3:uid="{00000000-0010-0000-0300-00001D000000}" name="Spalte29" dataDxfId="347"/>
    <tableColumn id="30" xr3:uid="{00000000-0010-0000-0300-00001E000000}" name="Spalte30" dataDxfId="346">
      <calculatedColumnFormula>AC53+AD53</calculatedColumnFormula>
    </tableColumn>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MSmL" displayName="MSmL" ref="A37:AE49" totalsRowShown="0" headerRowDxfId="301" dataDxfId="299" headerRowBorderDxfId="300" tableBorderDxfId="298">
  <autoFilter ref="A37:AE49" xr:uid="{00000000-0009-0000-0100-000005000000}"/>
  <tableColumns count="31">
    <tableColumn id="1" xr3:uid="{00000000-0010-0000-0400-000001000000}" name="Spalte1" dataDxfId="297"/>
    <tableColumn id="2" xr3:uid="{00000000-0010-0000-0400-000002000000}" name="Spalte2" dataDxfId="296"/>
    <tableColumn id="3" xr3:uid="{00000000-0010-0000-0400-000003000000}" name="Spalte3" dataDxfId="295"/>
    <tableColumn id="4" xr3:uid="{00000000-0010-0000-0400-000004000000}" name="Spalte4" dataDxfId="294"/>
    <tableColumn id="5" xr3:uid="{00000000-0010-0000-0400-000005000000}" name="Spalte5" dataDxfId="293">
      <calculatedColumnFormula>D38*$C$14</calculatedColumnFormula>
    </tableColumn>
    <tableColumn id="6" xr3:uid="{00000000-0010-0000-0400-000006000000}" name="Spalte6" dataDxfId="292"/>
    <tableColumn id="7" xr3:uid="{00000000-0010-0000-0400-000007000000}" name="Spalte7" dataDxfId="291"/>
    <tableColumn id="8" xr3:uid="{00000000-0010-0000-0400-000008000000}" name="Spalte8" dataDxfId="290">
      <calculatedColumnFormula>IF(F38="j",D38/Allgemeines!$B$30*$C$29,G38)</calculatedColumnFormula>
    </tableColumn>
    <tableColumn id="9" xr3:uid="{00000000-0010-0000-0400-000009000000}" name="Spalte9" dataDxfId="289" dataCellStyle="Prozent">
      <calculatedColumnFormula>H38*$C$31</calculatedColumnFormula>
    </tableColumn>
    <tableColumn id="10" xr3:uid="{00000000-0010-0000-0400-00000A000000}" name="Spalte10" dataDxfId="288">
      <calculatedColumnFormula>IF(AND(F38&lt;&gt;"",B38="Rückspeisung eN",Allgemeines!$B$29&lt;=2028),$J$21,0)
+IF(AND(F38&lt;&gt;"",OR(B38="EEG-nvol",B38="KWKG",B38="Sonstige-nvol"),AND(OR(C38="&lt;= 2022",C38&lt;=2022),Allgemeines!$B$29&lt;=2025)),1,0)
+IF(AND(F38&lt;&gt;"",OR(B38="EEG-nvol",B38="KWKG",B38="Sonstige-nvol"),AND(OR(C38="&lt;= 2022",C38&lt;=2022),Allgemeines!$B$29&gt;=2026)),1-(Allgemeines!$B$29-2025)/4,0)
+IF(AND(F38&lt;&gt;"",OR(B38="EEG-vol",B38="Sonstige-vol"),OR(C38="&lt;= 2017",C38&lt;=2017),C38&gt;1900),MIN(1,MAX(0,1-(Allgemeines!$B$29-2017)/3)),0)</calculatedColumnFormula>
    </tableColumn>
    <tableColumn id="11" xr3:uid="{00000000-0010-0000-0400-00000B000000}" name="Spalte11" dataDxfId="287">
      <calculatedColumnFormula>IF(B38="Rückspeisung eN",$K$21,J38)</calculatedColumnFormula>
    </tableColumn>
    <tableColumn id="12" xr3:uid="{00000000-0010-0000-0400-00000C000000}" name="Spalte12" dataDxfId="286" dataCellStyle="Prozent"/>
    <tableColumn id="13" xr3:uid="{00000000-0010-0000-0400-00000D000000}" name="Spalte13" dataDxfId="285">
      <calculatedColumnFormula>IF(MAX($AE38,$AB38)&gt;0,
IF($AE38&lt;$AB38,"R","A"),"")</calculatedColumnFormula>
    </tableColumn>
    <tableColumn id="14" xr3:uid="{00000000-0010-0000-0400-00000E000000}" name="Spalte14" dataDxfId="284">
      <calculatedColumnFormula>IF($AE38&lt;$AB38,AC38,Z38)</calculatedColumnFormula>
    </tableColumn>
    <tableColumn id="15" xr3:uid="{00000000-0010-0000-0400-00000F000000}" name="Spalte15" dataDxfId="283">
      <calculatedColumnFormula>IF($AE38&lt;$AB38,AD38,AA38)</calculatedColumnFormula>
    </tableColumn>
    <tableColumn id="16" xr3:uid="{00000000-0010-0000-0400-000010000000}" name="Spalte16" dataDxfId="282">
      <calculatedColumnFormula>D38*J38</calculatedColumnFormula>
    </tableColumn>
    <tableColumn id="17" xr3:uid="{00000000-0010-0000-0400-000011000000}" name="Spalte17" dataDxfId="281">
      <calculatedColumnFormula>IF($P$69&gt;0,$V$15*P38/$P$69,0)</calculatedColumnFormula>
    </tableColumn>
    <tableColumn id="18" xr3:uid="{00000000-0010-0000-0400-000012000000}" name="Spalte18" dataDxfId="280"/>
    <tableColumn id="19" xr3:uid="{00000000-0010-0000-0400-000013000000}" name="Spalte19" dataDxfId="279">
      <calculatedColumnFormula>IF($F38="j",$D38/Allgemeines!$B$30*W$25,R38)*$K38</calculatedColumnFormula>
    </tableColumn>
    <tableColumn id="20" xr3:uid="{00000000-0010-0000-0400-000014000000}" name="Spalte20" dataDxfId="278">
      <calculatedColumnFormula>H38*K38</calculatedColumnFormula>
    </tableColumn>
    <tableColumn id="21" xr3:uid="{00000000-0010-0000-0400-000015000000}" name="Spalte21" dataDxfId="277">
      <calculatedColumnFormula>CHOOSE(RIGHT(U$35,1),P38,S38,T38)</calculatedColumnFormula>
    </tableColumn>
    <tableColumn id="22" xr3:uid="{00000000-0010-0000-0400-000016000000}" name="Spalte22" dataDxfId="276">
      <calculatedColumnFormula>IF($U$69&gt;0,$W$15*U38/$U$69,0)</calculatedColumnFormula>
    </tableColumn>
    <tableColumn id="31" xr3:uid="{00000000-0010-0000-0400-00001F000000}" name="Spalte222" dataDxfId="275"/>
    <tableColumn id="23" xr3:uid="{00000000-0010-0000-0400-000017000000}" name="Spalte23" dataDxfId="274">
      <calculatedColumnFormula>N38+Q38</calculatedColumnFormula>
    </tableColumn>
    <tableColumn id="24" xr3:uid="{00000000-0010-0000-0400-000018000000}" name="Spalte24" dataDxfId="273">
      <calculatedColumnFormula>O38+V38</calculatedColumnFormula>
    </tableColumn>
    <tableColumn id="25" xr3:uid="{00000000-0010-0000-0400-000019000000}" name="Spalte25" dataDxfId="272">
      <calculatedColumnFormula>IF(L38&lt;&gt;0,E38*M$27/100*$J38,0)</calculatedColumnFormula>
    </tableColumn>
    <tableColumn id="26" xr3:uid="{00000000-0010-0000-0400-00001A000000}" name="Spalte26" dataDxfId="271">
      <calculatedColumnFormula>IF(AND(F38&lt;&gt;"",L38&lt;&gt;0),I38*N$27*$K38,0)</calculatedColumnFormula>
    </tableColumn>
    <tableColumn id="27" xr3:uid="{00000000-0010-0000-0400-00001B000000}" name="Spalte27" dataDxfId="270">
      <calculatedColumnFormula>Z38+AA38</calculatedColumnFormula>
    </tableColumn>
    <tableColumn id="28" xr3:uid="{00000000-0010-0000-0400-00001C000000}" name="Spalte28" dataDxfId="269">
      <calculatedColumnFormula>IF(L38&lt;&gt;"",E38*IFERROR(VLOOKUP(L38,$L$28:$N$32,2,FALSE),0)/100*$J38,0)</calculatedColumnFormula>
    </tableColumn>
    <tableColumn id="29" xr3:uid="{00000000-0010-0000-0400-00001D000000}" name="Spalte29" dataDxfId="268">
      <calculatedColumnFormula>IF(AND(F38&lt;&gt;"",L38&lt;&gt;""),I38*IFERROR(VLOOKUP(L38,$L$28:$N$32,3,FALSE),0)*$K38,0)</calculatedColumnFormula>
    </tableColumn>
    <tableColumn id="30" xr3:uid="{00000000-0010-0000-0400-00001E000000}" name="Spalte30" dataDxfId="267">
      <calculatedColumnFormula>AC38+AD38</calculatedColumnFormula>
    </tableColumn>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MSoL" displayName="MSoL" ref="A52:AE64" totalsRowShown="0" headerRowDxfId="266" dataDxfId="264" headerRowBorderDxfId="265" tableBorderDxfId="263">
  <autoFilter ref="A52:AE64" xr:uid="{00000000-0009-0000-0100-000006000000}"/>
  <tableColumns count="31">
    <tableColumn id="1" xr3:uid="{00000000-0010-0000-0500-000001000000}" name="Spalte1" dataDxfId="262"/>
    <tableColumn id="2" xr3:uid="{00000000-0010-0000-0500-000002000000}" name="Spalte2" dataDxfId="261"/>
    <tableColumn id="3" xr3:uid="{00000000-0010-0000-0500-000003000000}" name="Spalte3" dataDxfId="260" dataCellStyle="Standard 9"/>
    <tableColumn id="4" xr3:uid="{00000000-0010-0000-0500-000004000000}" name="Spalte4" dataDxfId="259"/>
    <tableColumn id="5" xr3:uid="{00000000-0010-0000-0500-000005000000}" name="Spalte5" dataDxfId="258">
      <calculatedColumnFormula>D53*$C$14</calculatedColumnFormula>
    </tableColumn>
    <tableColumn id="6" xr3:uid="{00000000-0010-0000-0500-000006000000}" name="Spalte6" dataDxfId="257">
      <calculatedColumnFormula>"j"</calculatedColumnFormula>
    </tableColumn>
    <tableColumn id="7" xr3:uid="{00000000-0010-0000-0500-000007000000}" name="Spalte7" dataDxfId="256"/>
    <tableColumn id="8" xr3:uid="{00000000-0010-0000-0500-000008000000}" name="Spalte8" dataDxfId="255">
      <calculatedColumnFormula>IF(F53="j",D53/Allgemeines!$B$30*$C$30,G53)</calculatedColumnFormula>
    </tableColumn>
    <tableColumn id="9" xr3:uid="{00000000-0010-0000-0500-000009000000}" name="Spalte9" dataDxfId="254" dataCellStyle="Prozent">
      <calculatedColumnFormula>H53*$C$31</calculatedColumnFormula>
    </tableColumn>
    <tableColumn id="10" xr3:uid="{00000000-0010-0000-0500-00000A000000}" name="Spalte10" dataDxfId="253" dataCellStyle="Prozent">
      <calculatedColumnFormula>IF(AND(F53&lt;&gt;"",B53="Rückspeisung eN",Allgemeines!$B$29&lt;=2028),$J$21,0)
+IF(AND(F53&lt;&gt;"",OR(B53="EEG-nvol",B53="KWKG",B53="Sonstige-nvol"),AND(OR(C53="&lt;= 2022",C53&lt;=2022),Allgemeines!$B$29&lt;=2025)),1,0)
+IF(AND(F53&lt;&gt;"",OR(B53="EEG-nvol",B53="KWKG",B53="Sonstige-nvol"),AND(OR(C53="&lt;= 2022",C53&lt;=2022),Allgemeines!$B$29&gt;=2026)),MIN(1,MAX(0,1-(Allgemeines!$B$29-2025)/4)),0)
+IF(AND(F53&lt;&gt;"",OR(B53="EEG-vol",B53="Sonstige-vol"),OR(C53="&lt;= 2017",C53&lt;=2017),C53&gt;1900),MIN(1,MAX(0,1-(Allgemeines!$B$29-2017)/3)),0)</calculatedColumnFormula>
    </tableColumn>
    <tableColumn id="11" xr3:uid="{00000000-0010-0000-0500-00000B000000}" name="Spalte11" dataDxfId="252" dataCellStyle="Prozent">
      <calculatedColumnFormula>IF(B53="Rückspeisung eN",$K$21,J53)</calculatedColumnFormula>
    </tableColumn>
    <tableColumn id="12" xr3:uid="{00000000-0010-0000-0500-00000C000000}" name="Spalte12" dataDxfId="251" dataCellStyle="Prozent"/>
    <tableColumn id="13" xr3:uid="{00000000-0010-0000-0500-00000D000000}" name="Spalte13" dataDxfId="250" dataCellStyle="Prozent">
      <calculatedColumnFormula>IF(MAX($AE53,$AB53)&gt;0,
IF($AE53&lt;$AB53,"R","A"),"")</calculatedColumnFormula>
    </tableColumn>
    <tableColumn id="14" xr3:uid="{00000000-0010-0000-0500-00000E000000}" name="Spalte14" dataDxfId="249" dataCellStyle="Prozent">
      <calculatedColumnFormula>IF($AE53&lt;$AB53,AC53,Z53)</calculatedColumnFormula>
    </tableColumn>
    <tableColumn id="15" xr3:uid="{00000000-0010-0000-0500-00000F000000}" name="Spalte15" dataDxfId="248"/>
    <tableColumn id="16" xr3:uid="{00000000-0010-0000-0500-000010000000}" name="Spalte16" dataDxfId="247">
      <calculatedColumnFormula>D53*J53</calculatedColumnFormula>
    </tableColumn>
    <tableColumn id="17" xr3:uid="{00000000-0010-0000-0500-000011000000}" name="Spalte17" dataDxfId="246">
      <calculatedColumnFormula>IF($P$69&gt;0,$V$15*P53/$P$69,0)</calculatedColumnFormula>
    </tableColumn>
    <tableColumn id="18" xr3:uid="{00000000-0010-0000-0500-000012000000}" name="Spalte18" dataDxfId="245"/>
    <tableColumn id="19" xr3:uid="{00000000-0010-0000-0500-000013000000}" name="Spalte19" dataDxfId="244">
      <calculatedColumnFormula>IF($F53="j",$D53/Allgemeines!$B$30*W$26,R53)*$K53</calculatedColumnFormula>
    </tableColumn>
    <tableColumn id="20" xr3:uid="{00000000-0010-0000-0500-000014000000}" name="Spalte20" dataDxfId="243">
      <calculatedColumnFormula>H53*K53</calculatedColumnFormula>
    </tableColumn>
    <tableColumn id="21" xr3:uid="{00000000-0010-0000-0500-000015000000}" name="Spalte21" dataDxfId="242">
      <calculatedColumnFormula>CHOOSE(RIGHT(U$35,1),P53,S53,T53)</calculatedColumnFormula>
    </tableColumn>
    <tableColumn id="22" xr3:uid="{00000000-0010-0000-0500-000016000000}" name="Spalte22" dataDxfId="241"/>
    <tableColumn id="31" xr3:uid="{00000000-0010-0000-0500-00001F000000}" name="Spalte222" dataDxfId="240"/>
    <tableColumn id="23" xr3:uid="{00000000-0010-0000-0500-000017000000}" name="Spalte23" dataDxfId="239">
      <calculatedColumnFormula>N53+Q53</calculatedColumnFormula>
    </tableColumn>
    <tableColumn id="24" xr3:uid="{00000000-0010-0000-0500-000018000000}" name="Spalte24" dataDxfId="238"/>
    <tableColumn id="25" xr3:uid="{00000000-0010-0000-0500-000019000000}" name="Spalte25" dataDxfId="237" dataCellStyle="Prozent">
      <calculatedColumnFormula>IF(L53&lt;&gt;0,E53*M$27/100*$J53,0)</calculatedColumnFormula>
    </tableColumn>
    <tableColumn id="26" xr3:uid="{00000000-0010-0000-0500-00001A000000}" name="Spalte26" dataDxfId="236"/>
    <tableColumn id="27" xr3:uid="{00000000-0010-0000-0500-00001B000000}" name="Spalte27" dataDxfId="235">
      <calculatedColumnFormula>Z53+AA53</calculatedColumnFormula>
    </tableColumn>
    <tableColumn id="28" xr3:uid="{00000000-0010-0000-0500-00001C000000}" name="Spalte28" dataDxfId="234" dataCellStyle="Prozent">
      <calculatedColumnFormula>IF(L53&lt;&gt;"",E53*IFERROR(VLOOKUP(L53,$L$28:$N$32,2,FALSE),0)/100*$J53,0)</calculatedColumnFormula>
    </tableColumn>
    <tableColumn id="29" xr3:uid="{00000000-0010-0000-0500-00001D000000}" name="Spalte29" dataDxfId="233"/>
    <tableColumn id="30" xr3:uid="{00000000-0010-0000-0500-00001E000000}" name="Spalte30" dataDxfId="232">
      <calculatedColumnFormula>AC53+AD53</calculatedColumnFormula>
    </tableColumn>
  </tableColumns>
  <tableStyleInf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MNmL" displayName="MNmL" ref="A37:AE49" totalsRowShown="0" headerRowDxfId="187" dataDxfId="185" headerRowBorderDxfId="186" tableBorderDxfId="184">
  <autoFilter ref="A37:AE49" xr:uid="{00000000-0009-0000-0100-000007000000}"/>
  <tableColumns count="31">
    <tableColumn id="1" xr3:uid="{00000000-0010-0000-0600-000001000000}" name="Spalte1" dataDxfId="183"/>
    <tableColumn id="2" xr3:uid="{00000000-0010-0000-0600-000002000000}" name="Spalte2" dataDxfId="182"/>
    <tableColumn id="3" xr3:uid="{00000000-0010-0000-0600-000003000000}" name="Spalte3" dataDxfId="181"/>
    <tableColumn id="4" xr3:uid="{00000000-0010-0000-0600-000004000000}" name="Spalte4" dataDxfId="180"/>
    <tableColumn id="5" xr3:uid="{00000000-0010-0000-0600-000005000000}" name="Spalte5" dataDxfId="179">
      <calculatedColumnFormula>D38*$C$14</calculatedColumnFormula>
    </tableColumn>
    <tableColumn id="6" xr3:uid="{00000000-0010-0000-0600-000006000000}" name="Spalte6" dataDxfId="178"/>
    <tableColumn id="7" xr3:uid="{00000000-0010-0000-0600-000007000000}" name="Spalte7" dataDxfId="177"/>
    <tableColumn id="8" xr3:uid="{00000000-0010-0000-0600-000008000000}" name="Spalte8" dataDxfId="176">
      <calculatedColumnFormula>IF(F38="j",D38/Allgemeines!$B$30*$C$29,G38)</calculatedColumnFormula>
    </tableColumn>
    <tableColumn id="9" xr3:uid="{00000000-0010-0000-0600-000009000000}" name="Spalte9" dataDxfId="175" dataCellStyle="Prozent">
      <calculatedColumnFormula>H38*$C$31</calculatedColumnFormula>
    </tableColumn>
    <tableColumn id="10" xr3:uid="{00000000-0010-0000-0600-00000A000000}" name="Spalte10" dataDxfId="174">
      <calculatedColumnFormula>IF(AND(F38&lt;&gt;"",B38="Rückspeisung eN",Allgemeines!$B$29&lt;=2028),$J$21,0)
+IF(AND(F38&lt;&gt;"",OR(B38="EEG-nvol",B38="KWKG",B38="Sonstige-nvol"),AND(OR(C38="&lt;= 2022",C38&lt;=2022),Allgemeines!$B$29&lt;=2025)),1,0)
+IF(AND(F38&lt;&gt;"",OR(B38="EEG-nvol",B38="KWKG",B38="Sonstige-nvol"),AND(OR(C38="&lt;= 2022",C38&lt;=2022),Allgemeines!$B$29&gt;=2026)),1-(Allgemeines!$B$29-2025)/4,0)
+IF(AND(F38&lt;&gt;"",OR(B38="EEG-vol",B38="Sonstige-vol"),OR(C38="&lt;= 2017",C38&lt;=2017),C38&gt;1900),MIN(1,MAX(0,1-(Allgemeines!$B$29-2017)/3)),0)</calculatedColumnFormula>
    </tableColumn>
    <tableColumn id="11" xr3:uid="{00000000-0010-0000-0600-00000B000000}" name="Spalte11" dataDxfId="173">
      <calculatedColumnFormula>IF(B38="Rückspeisung eN",$K$21,J38)</calculatedColumnFormula>
    </tableColumn>
    <tableColumn id="12" xr3:uid="{00000000-0010-0000-0600-00000C000000}" name="Spalte12" dataDxfId="172" dataCellStyle="Prozent"/>
    <tableColumn id="13" xr3:uid="{00000000-0010-0000-0600-00000D000000}" name="Spalte13" dataDxfId="171">
      <calculatedColumnFormula>IF(MAX($AE38,$AB38)&gt;0,
IF($AE38&lt;$AB38,"R","A"),"")</calculatedColumnFormula>
    </tableColumn>
    <tableColumn id="14" xr3:uid="{00000000-0010-0000-0600-00000E000000}" name="Spalte14" dataDxfId="170">
      <calculatedColumnFormula>IF($AE38&lt;$AB38,AC38,Z38)</calculatedColumnFormula>
    </tableColumn>
    <tableColumn id="15" xr3:uid="{00000000-0010-0000-0600-00000F000000}" name="Spalte15" dataDxfId="169">
      <calculatedColumnFormula>IF($AE38&lt;$AB38,AD38,AA38)</calculatedColumnFormula>
    </tableColumn>
    <tableColumn id="16" xr3:uid="{00000000-0010-0000-0600-000010000000}" name="Spalte16" dataDxfId="168">
      <calculatedColumnFormula>D38*J38</calculatedColumnFormula>
    </tableColumn>
    <tableColumn id="17" xr3:uid="{00000000-0010-0000-0600-000011000000}" name="Spalte17" dataDxfId="167">
      <calculatedColumnFormula>IF($P$69&gt;0,$V$15*P38/$P$69,0)</calculatedColumnFormula>
    </tableColumn>
    <tableColumn id="18" xr3:uid="{00000000-0010-0000-0600-000012000000}" name="Spalte18" dataDxfId="166"/>
    <tableColumn id="19" xr3:uid="{00000000-0010-0000-0600-000013000000}" name="Spalte19" dataDxfId="165">
      <calculatedColumnFormula>IF($F38="j",$D38/Allgemeines!$B$30*W$25,R38)*$K38</calculatedColumnFormula>
    </tableColumn>
    <tableColumn id="20" xr3:uid="{00000000-0010-0000-0600-000014000000}" name="Spalte20" dataDxfId="164">
      <calculatedColumnFormula>H38*K38</calculatedColumnFormula>
    </tableColumn>
    <tableColumn id="21" xr3:uid="{00000000-0010-0000-0600-000015000000}" name="Spalte21" dataDxfId="163">
      <calculatedColumnFormula>CHOOSE(RIGHT(U$35,1),P38,S38,T38)</calculatedColumnFormula>
    </tableColumn>
    <tableColumn id="22" xr3:uid="{00000000-0010-0000-0600-000016000000}" name="Spalte22" dataDxfId="162">
      <calculatedColumnFormula>IF($U$69&gt;0,$W$15*U38/$U$69,0)</calculatedColumnFormula>
    </tableColumn>
    <tableColumn id="31" xr3:uid="{00000000-0010-0000-0600-00001F000000}" name="Spalte222" dataDxfId="161"/>
    <tableColumn id="23" xr3:uid="{00000000-0010-0000-0600-000017000000}" name="Spalte23" dataDxfId="160">
      <calculatedColumnFormula>N38+Q38</calculatedColumnFormula>
    </tableColumn>
    <tableColumn id="24" xr3:uid="{00000000-0010-0000-0600-000018000000}" name="Spalte24" dataDxfId="159">
      <calculatedColumnFormula>O38+V38</calculatedColumnFormula>
    </tableColumn>
    <tableColumn id="25" xr3:uid="{00000000-0010-0000-0600-000019000000}" name="Spalte25" dataDxfId="158">
      <calculatedColumnFormula>IF(L38&lt;&gt;0,E38*M$27/100*$J38,0)</calculatedColumnFormula>
    </tableColumn>
    <tableColumn id="26" xr3:uid="{00000000-0010-0000-0600-00001A000000}" name="Spalte26" dataDxfId="157">
      <calculatedColumnFormula>IF(AND(F38&lt;&gt;"",L38&lt;&gt;0),I38*N$27*$K38,0)</calculatedColumnFormula>
    </tableColumn>
    <tableColumn id="27" xr3:uid="{00000000-0010-0000-0600-00001B000000}" name="Spalte27" dataDxfId="156">
      <calculatedColumnFormula>Z38+AA38</calculatedColumnFormula>
    </tableColumn>
    <tableColumn id="28" xr3:uid="{00000000-0010-0000-0600-00001C000000}" name="Spalte28" dataDxfId="155">
      <calculatedColumnFormula>IF(L38&lt;&gt;"",E38*IFERROR(VLOOKUP(L38,$L$28:$N$32,2,FALSE),0)/100*$J38,0)</calculatedColumnFormula>
    </tableColumn>
    <tableColumn id="29" xr3:uid="{00000000-0010-0000-0600-00001D000000}" name="Spalte29" dataDxfId="154">
      <calculatedColumnFormula>IF(AND(F38&lt;&gt;"",L38&lt;&gt;""),I38*IFERROR(VLOOKUP(L38,$L$28:$N$32,3,FALSE),0)*$K38,0)</calculatedColumnFormula>
    </tableColumn>
    <tableColumn id="30" xr3:uid="{00000000-0010-0000-0600-00001E000000}" name="Spalte30" dataDxfId="153">
      <calculatedColumnFormula>AC38+AD38</calculatedColumnFormula>
    </tableColumn>
  </tableColumns>
  <tableStyleInfo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MNoL" displayName="MNoL" ref="A52:AE64" totalsRowShown="0" headerRowDxfId="152" dataDxfId="150" headerRowBorderDxfId="151" tableBorderDxfId="149">
  <autoFilter ref="A52:AE64" xr:uid="{00000000-0009-0000-0100-000008000000}"/>
  <tableColumns count="31">
    <tableColumn id="1" xr3:uid="{00000000-0010-0000-0700-000001000000}" name="Spalte1" dataDxfId="148"/>
    <tableColumn id="2" xr3:uid="{00000000-0010-0000-0700-000002000000}" name="Spalte2" dataDxfId="147"/>
    <tableColumn id="3" xr3:uid="{00000000-0010-0000-0700-000003000000}" name="Spalte3" dataDxfId="146" dataCellStyle="Standard 9"/>
    <tableColumn id="4" xr3:uid="{00000000-0010-0000-0700-000004000000}" name="Spalte4" dataDxfId="145"/>
    <tableColumn id="5" xr3:uid="{00000000-0010-0000-0700-000005000000}" name="Spalte5" dataDxfId="144">
      <calculatedColumnFormula>D53*$C$14</calculatedColumnFormula>
    </tableColumn>
    <tableColumn id="6" xr3:uid="{00000000-0010-0000-0700-000006000000}" name="Spalte6" dataDxfId="143">
      <calculatedColumnFormula>"j"</calculatedColumnFormula>
    </tableColumn>
    <tableColumn id="7" xr3:uid="{00000000-0010-0000-0700-000007000000}" name="Spalte7" dataDxfId="142"/>
    <tableColumn id="8" xr3:uid="{00000000-0010-0000-0700-000008000000}" name="Spalte8" dataDxfId="141">
      <calculatedColumnFormula>IF(F53="j",D53/Allgemeines!$B$30*$C$30,G53)</calculatedColumnFormula>
    </tableColumn>
    <tableColumn id="9" xr3:uid="{00000000-0010-0000-0700-000009000000}" name="Spalte9" dataDxfId="140" dataCellStyle="Prozent">
      <calculatedColumnFormula>H53*$C$31</calculatedColumnFormula>
    </tableColumn>
    <tableColumn id="10" xr3:uid="{00000000-0010-0000-0700-00000A000000}" name="Spalte10" dataDxfId="139" dataCellStyle="Prozent">
      <calculatedColumnFormula>IF(AND(F53&lt;&gt;"",B53="Rückspeisung eN",Allgemeines!$B$29&lt;=2028),$J$21,0)
+IF(AND(F53&lt;&gt;"",OR(B53="EEG-nvol",B53="KWKG",B53="Sonstige-nvol"),AND(OR(C53="&lt;= 2022",C53&lt;=2022),Allgemeines!$B$29&lt;=2025)),1,0)
+IF(AND(F53&lt;&gt;"",OR(B53="EEG-nvol",B53="KWKG",B53="Sonstige-nvol"),AND(OR(C53="&lt;= 2022",C53&lt;=2022),Allgemeines!$B$29&gt;=2026)),MIN(1,MAX(0,1-(Allgemeines!$B$29-2025)/4)),0)
+IF(AND(F53&lt;&gt;"",OR(B53="EEG-vol",B53="Sonstige-vol"),OR(C53="&lt;= 2017",C53&lt;=2017),C53&gt;1900),MIN(1,MAX(0,1-(Allgemeines!$B$29-2017)/3)),0)</calculatedColumnFormula>
    </tableColumn>
    <tableColumn id="11" xr3:uid="{00000000-0010-0000-0700-00000B000000}" name="Spalte11" dataDxfId="138" dataCellStyle="Prozent">
      <calculatedColumnFormula>IF(B53="Rückspeisung eN",$K$21,J53)</calculatedColumnFormula>
    </tableColumn>
    <tableColumn id="12" xr3:uid="{00000000-0010-0000-0700-00000C000000}" name="Spalte12" dataDxfId="137" dataCellStyle="Prozent"/>
    <tableColumn id="13" xr3:uid="{00000000-0010-0000-0700-00000D000000}" name="Spalte13" dataDxfId="136" dataCellStyle="Prozent">
      <calculatedColumnFormula>IF(MAX($AE53,$AB53)&gt;0,
IF($AE53&lt;$AB53,"R","A"),"")</calculatedColumnFormula>
    </tableColumn>
    <tableColumn id="14" xr3:uid="{00000000-0010-0000-0700-00000E000000}" name="Spalte14" dataDxfId="135" dataCellStyle="Prozent">
      <calculatedColumnFormula>IF($AE53&lt;$AB53,AC53,Z53)</calculatedColumnFormula>
    </tableColumn>
    <tableColumn id="15" xr3:uid="{00000000-0010-0000-0700-00000F000000}" name="Spalte15" dataDxfId="134"/>
    <tableColumn id="16" xr3:uid="{00000000-0010-0000-0700-000010000000}" name="Spalte16" dataDxfId="133">
      <calculatedColumnFormula>D53*J53</calculatedColumnFormula>
    </tableColumn>
    <tableColumn id="17" xr3:uid="{00000000-0010-0000-0700-000011000000}" name="Spalte17" dataDxfId="132">
      <calculatedColumnFormula>IF($P$69&gt;0,$V$15*P53/$P$69,0)</calculatedColumnFormula>
    </tableColumn>
    <tableColumn id="18" xr3:uid="{00000000-0010-0000-0700-000012000000}" name="Spalte18" dataDxfId="131"/>
    <tableColumn id="19" xr3:uid="{00000000-0010-0000-0700-000013000000}" name="Spalte19" dataDxfId="130">
      <calculatedColumnFormula>IF($F53="j",$D53/Allgemeines!$B$30*W$26,R53)*$K53</calculatedColumnFormula>
    </tableColumn>
    <tableColumn id="20" xr3:uid="{00000000-0010-0000-0700-000014000000}" name="Spalte20" dataDxfId="129">
      <calculatedColumnFormula>H53*K53</calculatedColumnFormula>
    </tableColumn>
    <tableColumn id="21" xr3:uid="{00000000-0010-0000-0700-000015000000}" name="Spalte21" dataDxfId="128">
      <calculatedColumnFormula>CHOOSE(RIGHT(U$35,1),P53,S53,T53)</calculatedColumnFormula>
    </tableColumn>
    <tableColumn id="22" xr3:uid="{00000000-0010-0000-0700-000016000000}" name="Spalte22" dataDxfId="127"/>
    <tableColumn id="31" xr3:uid="{00000000-0010-0000-0700-00001F000000}" name="Spalte222" dataDxfId="126"/>
    <tableColumn id="23" xr3:uid="{00000000-0010-0000-0700-000017000000}" name="Spalte23" dataDxfId="125">
      <calculatedColumnFormula>N53+Q53</calculatedColumnFormula>
    </tableColumn>
    <tableColumn id="24" xr3:uid="{00000000-0010-0000-0700-000018000000}" name="Spalte24" dataDxfId="124"/>
    <tableColumn id="25" xr3:uid="{00000000-0010-0000-0700-000019000000}" name="Spalte25" dataDxfId="123" dataCellStyle="Prozent">
      <calculatedColumnFormula>IF(L53&lt;&gt;0,E53*M$27/100*$J53,0)</calculatedColumnFormula>
    </tableColumn>
    <tableColumn id="26" xr3:uid="{00000000-0010-0000-0700-00001A000000}" name="Spalte26" dataDxfId="122"/>
    <tableColumn id="27" xr3:uid="{00000000-0010-0000-0700-00001B000000}" name="Spalte27" dataDxfId="121">
      <calculatedColumnFormula>Z53+AA53</calculatedColumnFormula>
    </tableColumn>
    <tableColumn id="28" xr3:uid="{00000000-0010-0000-0700-00001C000000}" name="Spalte28" dataDxfId="120" dataCellStyle="Prozent">
      <calculatedColumnFormula>IF(L53&lt;&gt;"",E53*IFERROR(VLOOKUP(L53,$L$28:$N$32,2,FALSE),0)/100*$J53,0)</calculatedColumnFormula>
    </tableColumn>
    <tableColumn id="29" xr3:uid="{00000000-0010-0000-0700-00001D000000}" name="Spalte29" dataDxfId="119"/>
    <tableColumn id="30" xr3:uid="{00000000-0010-0000-0700-00001E000000}" name="Spalte30" dataDxfId="118">
      <calculatedColumnFormula>AC53+AD53</calculatedColumnFormula>
    </tableColumn>
  </tableColumns>
  <tableStyleInfo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NSmL" displayName="NSmL" ref="A37:AE49" totalsRowShown="0" headerRowDxfId="72" dataDxfId="70" headerRowBorderDxfId="71" tableBorderDxfId="69">
  <autoFilter ref="A37:AE49" xr:uid="{00000000-0009-0000-0100-000009000000}"/>
  <tableColumns count="31">
    <tableColumn id="1" xr3:uid="{00000000-0010-0000-0800-000001000000}" name="Spalte1" dataDxfId="68">
      <calculatedColumnFormula>AND(J38&lt;&gt;IF(AND(F38&lt;&gt;"",B38="Rückspeisung eN"),$J$21,0)
+IF(AND(F38&lt;&gt;"",OR(B38="EEG-nvol",B38="KWKG",B38="Sonstige-nvol"),AND(OR(C38="&lt;= 2022",C38&lt;=2022),Allgemeines!$B$29&lt;=2024)),1,0)
+IF(AND(F38&lt;&gt;"",OR(B38="EEG-nvol",B38="KWKG",B38="Sonstige-nvol"),AND(OR(C38="&lt;= 2022",C38&lt;=2022),Allgemeines!$B$29&gt;=2025)),MIN(1,MAX(0,1-(Allgemeines!$B$29-2024)/4)),0)
+IF(AND(F38&lt;&gt;"",OR(B38="EEG-vol",B38="Sonstige-vol"),OR(C38="&lt;= 2017",C38&lt;=2017),C38&gt;1900),MIN(1,MAX(0,1-(Allgemeines!$B$29-2017)/3)),0),B38&lt;&gt;"Rückspeisung fN")</calculatedColumnFormula>
    </tableColumn>
    <tableColumn id="2" xr3:uid="{00000000-0010-0000-0800-000002000000}" name="Spalte2" dataDxfId="67"/>
    <tableColumn id="3" xr3:uid="{00000000-0010-0000-0800-000003000000}" name="Spalte3" dataDxfId="66"/>
    <tableColumn id="4" xr3:uid="{00000000-0010-0000-0800-000004000000}" name="Spalte4" dataDxfId="65"/>
    <tableColumn id="5" xr3:uid="{00000000-0010-0000-0800-000005000000}" name="Spalte5" dataDxfId="64">
      <calculatedColumnFormula>D38*$C$14</calculatedColumnFormula>
    </tableColumn>
    <tableColumn id="6" xr3:uid="{00000000-0010-0000-0800-000006000000}" name="Spalte6" dataDxfId="63"/>
    <tableColumn id="7" xr3:uid="{00000000-0010-0000-0800-000007000000}" name="Spalte7" dataDxfId="62"/>
    <tableColumn id="8" xr3:uid="{00000000-0010-0000-0800-000008000000}" name="Spalte8" dataDxfId="61">
      <calculatedColumnFormula>IF(F38="j",D38/Allgemeines!$B$30*$C$29,G38)</calculatedColumnFormula>
    </tableColumn>
    <tableColumn id="9" xr3:uid="{00000000-0010-0000-0800-000009000000}" name="Spalte9" dataDxfId="60" dataCellStyle="Prozent">
      <calculatedColumnFormula>H38*$C$31</calculatedColumnFormula>
    </tableColumn>
    <tableColumn id="10" xr3:uid="{00000000-0010-0000-0800-00000A000000}" name="Spalte10" dataDxfId="59">
      <calculatedColumnFormula>IF(AND(F38&lt;&gt;"",B38="Rückspeisung eN",Allgemeines!$B$29&lt;=2028),$J$21,0)
+IF(AND(F38&lt;&gt;"",OR(B38="EEG-nvol",B38="KWKG",B38="Sonstige-nvol"),AND(OR(C38="&lt;= 2022",C38&lt;=2022),Allgemeines!$B$29&lt;=2025)),1,0)
+IF(AND(F38&lt;&gt;"",OR(B38="EEG-nvol",B38="KWKG",B38="Sonstige-nvol"),AND(OR(C38="&lt;= 2022",C38&lt;=2022),Allgemeines!$B$29&gt;=2026)),1-(Allgemeines!$B$29-2025)/4,0)
+IF(AND(F38&lt;&gt;"",OR(B38="EEG-vol",B38="Sonstige-vol"),OR(C38="&lt;= 2017",C38&lt;=2017),C38&gt;1900),MIN(1,MAX(0,1-(Allgemeines!$B$29-2017)/3)),0)</calculatedColumnFormula>
    </tableColumn>
    <tableColumn id="11" xr3:uid="{00000000-0010-0000-0800-00000B000000}" name="Spalte11" dataDxfId="58">
      <calculatedColumnFormula>IF(B38="Rückspeisung eN",$K$21,J38)</calculatedColumnFormula>
    </tableColumn>
    <tableColumn id="12" xr3:uid="{00000000-0010-0000-0800-00000C000000}" name="Spalte12" dataDxfId="57" dataCellStyle="Prozent"/>
    <tableColumn id="13" xr3:uid="{00000000-0010-0000-0800-00000D000000}" name="Spalte13" dataDxfId="56">
      <calculatedColumnFormula>IF(MAX($AE38,$AB38)&gt;0,
IF($AE38&lt;$AB38,"R","A"),"")</calculatedColumnFormula>
    </tableColumn>
    <tableColumn id="14" xr3:uid="{00000000-0010-0000-0800-00000E000000}" name="Spalte14" dataDxfId="55">
      <calculatedColumnFormula>IF($AE38&lt;$AB38,AC38,Z38)</calculatedColumnFormula>
    </tableColumn>
    <tableColumn id="15" xr3:uid="{00000000-0010-0000-0800-00000F000000}" name="Spalte15" dataDxfId="54">
      <calculatedColumnFormula>IF($AE38&lt;$AB38,AD38,AA38)</calculatedColumnFormula>
    </tableColumn>
    <tableColumn id="16" xr3:uid="{00000000-0010-0000-0800-000010000000}" name="Spalte16" dataDxfId="53">
      <calculatedColumnFormula>D38*J38</calculatedColumnFormula>
    </tableColumn>
    <tableColumn id="17" xr3:uid="{00000000-0010-0000-0800-000011000000}" name="Spalte17" dataDxfId="52">
      <calculatedColumnFormula>IF($P$69&gt;0,$V$15*P38/$P$69,0)</calculatedColumnFormula>
    </tableColumn>
    <tableColumn id="18" xr3:uid="{00000000-0010-0000-0800-000012000000}" name="Spalte18" dataDxfId="51"/>
    <tableColumn id="19" xr3:uid="{00000000-0010-0000-0800-000013000000}" name="Spalte19" dataDxfId="50">
      <calculatedColumnFormula>IF($F38="j",$D38/Allgemeines!$B$30*W$25,R38)*$K38</calculatedColumnFormula>
    </tableColumn>
    <tableColumn id="20" xr3:uid="{00000000-0010-0000-0800-000014000000}" name="Spalte20" dataDxfId="49">
      <calculatedColumnFormula>H38*K38</calculatedColumnFormula>
    </tableColumn>
    <tableColumn id="21" xr3:uid="{00000000-0010-0000-0800-000015000000}" name="Spalte21" dataDxfId="48">
      <calculatedColumnFormula>CHOOSE(RIGHT(U$35,1),P38,S38,T38)</calculatedColumnFormula>
    </tableColumn>
    <tableColumn id="22" xr3:uid="{00000000-0010-0000-0800-000016000000}" name="Spalte22" dataDxfId="47">
      <calculatedColumnFormula>IF($U$69&gt;0,$W$15*U38/$U$69,0)</calculatedColumnFormula>
    </tableColumn>
    <tableColumn id="31" xr3:uid="{00000000-0010-0000-0800-00001F000000}" name="Spalte222" dataDxfId="46"/>
    <tableColumn id="23" xr3:uid="{00000000-0010-0000-0800-000017000000}" name="Spalte23" dataDxfId="45">
      <calculatedColumnFormula>N38+Q38</calculatedColumnFormula>
    </tableColumn>
    <tableColumn id="24" xr3:uid="{00000000-0010-0000-0800-000018000000}" name="Spalte24" dataDxfId="44">
      <calculatedColumnFormula>O38+V38</calculatedColumnFormula>
    </tableColumn>
    <tableColumn id="25" xr3:uid="{00000000-0010-0000-0800-000019000000}" name="Spalte25" dataDxfId="43">
      <calculatedColumnFormula>IF(L38&lt;&gt;0,E38*M$27/100*$J38,0)</calculatedColumnFormula>
    </tableColumn>
    <tableColumn id="26" xr3:uid="{00000000-0010-0000-0800-00001A000000}" name="Spalte26" dataDxfId="42">
      <calculatedColumnFormula>IF(AND(F38&lt;&gt;"",L38&lt;&gt;0),I38*N$27*$K38,0)</calculatedColumnFormula>
    </tableColumn>
    <tableColumn id="27" xr3:uid="{00000000-0010-0000-0800-00001B000000}" name="Spalte27" dataDxfId="41">
      <calculatedColumnFormula>Z38+AA38</calculatedColumnFormula>
    </tableColumn>
    <tableColumn id="28" xr3:uid="{00000000-0010-0000-0800-00001C000000}" name="Spalte28" dataDxfId="40">
      <calculatedColumnFormula>IF(L38&lt;&gt;"",E38*IFERROR(VLOOKUP(L38,$L$28:$N$32,2,FALSE),0)/100*$J38,0)</calculatedColumnFormula>
    </tableColumn>
    <tableColumn id="29" xr3:uid="{00000000-0010-0000-0800-00001D000000}" name="Spalte29" dataDxfId="39">
      <calculatedColumnFormula>IF(AND(F38&lt;&gt;"",L38&lt;&gt;""),I38*IFERROR(VLOOKUP(L38,$L$28:$N$32,3,FALSE),0)*$K38,0)</calculatedColumnFormula>
    </tableColumn>
    <tableColumn id="30" xr3:uid="{00000000-0010-0000-0800-00001E000000}" name="Spalte30" dataDxfId="38">
      <calculatedColumnFormula>AC38+AD38</calculatedColumnFormula>
    </tableColumn>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table" Target="../tables/table9.xml"/><Relationship Id="rId3" Type="http://schemas.openxmlformats.org/officeDocument/2006/relationships/vmlDrawing" Target="../drawings/vmlDrawing10.vml"/><Relationship Id="rId7" Type="http://schemas.openxmlformats.org/officeDocument/2006/relationships/image" Target="../media/image2.emf"/><Relationship Id="rId2" Type="http://schemas.openxmlformats.org/officeDocument/2006/relationships/drawing" Target="../drawings/drawing9.xml"/><Relationship Id="rId1" Type="http://schemas.openxmlformats.org/officeDocument/2006/relationships/printerSettings" Target="../printerSettings/printerSettings10.bin"/><Relationship Id="rId6" Type="http://schemas.openxmlformats.org/officeDocument/2006/relationships/control" Target="../activeX/activeX10.xml"/><Relationship Id="rId5" Type="http://schemas.openxmlformats.org/officeDocument/2006/relationships/image" Target="../media/image3.emf"/><Relationship Id="rId10" Type="http://schemas.openxmlformats.org/officeDocument/2006/relationships/comments" Target="../comments10.xml"/><Relationship Id="rId4" Type="http://schemas.openxmlformats.org/officeDocument/2006/relationships/control" Target="../activeX/activeX9.xml"/><Relationship Id="rId9" Type="http://schemas.openxmlformats.org/officeDocument/2006/relationships/table" Target="../tables/table10.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8" Type="http://schemas.openxmlformats.org/officeDocument/2006/relationships/table" Target="../tables/table1.xml"/><Relationship Id="rId3" Type="http://schemas.openxmlformats.org/officeDocument/2006/relationships/vmlDrawing" Target="../drawings/vmlDrawing6.vml"/><Relationship Id="rId7" Type="http://schemas.openxmlformats.org/officeDocument/2006/relationships/image" Target="../media/image2.emf"/><Relationship Id="rId2" Type="http://schemas.openxmlformats.org/officeDocument/2006/relationships/drawing" Target="../drawings/drawing5.xml"/><Relationship Id="rId1" Type="http://schemas.openxmlformats.org/officeDocument/2006/relationships/printerSettings" Target="../printerSettings/printerSettings6.bin"/><Relationship Id="rId6" Type="http://schemas.openxmlformats.org/officeDocument/2006/relationships/control" Target="../activeX/activeX2.xml"/><Relationship Id="rId5" Type="http://schemas.openxmlformats.org/officeDocument/2006/relationships/image" Target="../media/image1.emf"/><Relationship Id="rId10" Type="http://schemas.openxmlformats.org/officeDocument/2006/relationships/comments" Target="../comments6.xml"/><Relationship Id="rId4" Type="http://schemas.openxmlformats.org/officeDocument/2006/relationships/control" Target="../activeX/activeX1.xml"/><Relationship Id="rId9" Type="http://schemas.openxmlformats.org/officeDocument/2006/relationships/table" Target="../tables/table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3.xml"/><Relationship Id="rId3" Type="http://schemas.openxmlformats.org/officeDocument/2006/relationships/vmlDrawing" Target="../drawings/vmlDrawing7.vml"/><Relationship Id="rId7" Type="http://schemas.openxmlformats.org/officeDocument/2006/relationships/image" Target="../media/image2.emf"/><Relationship Id="rId2" Type="http://schemas.openxmlformats.org/officeDocument/2006/relationships/drawing" Target="../drawings/drawing6.xml"/><Relationship Id="rId1" Type="http://schemas.openxmlformats.org/officeDocument/2006/relationships/printerSettings" Target="../printerSettings/printerSettings7.bin"/><Relationship Id="rId6" Type="http://schemas.openxmlformats.org/officeDocument/2006/relationships/control" Target="../activeX/activeX4.xml"/><Relationship Id="rId5" Type="http://schemas.openxmlformats.org/officeDocument/2006/relationships/image" Target="../media/image1.emf"/><Relationship Id="rId10" Type="http://schemas.openxmlformats.org/officeDocument/2006/relationships/comments" Target="../comments7.xml"/><Relationship Id="rId4" Type="http://schemas.openxmlformats.org/officeDocument/2006/relationships/control" Target="../activeX/activeX3.xml"/><Relationship Id="rId9" Type="http://schemas.openxmlformats.org/officeDocument/2006/relationships/table" Target="../tables/table4.xml"/></Relationships>
</file>

<file path=xl/worksheets/_rels/sheet8.xml.rels><?xml version="1.0" encoding="UTF-8" standalone="yes"?>
<Relationships xmlns="http://schemas.openxmlformats.org/package/2006/relationships"><Relationship Id="rId8" Type="http://schemas.openxmlformats.org/officeDocument/2006/relationships/table" Target="../tables/table5.xml"/><Relationship Id="rId3" Type="http://schemas.openxmlformats.org/officeDocument/2006/relationships/vmlDrawing" Target="../drawings/vmlDrawing8.vml"/><Relationship Id="rId7" Type="http://schemas.openxmlformats.org/officeDocument/2006/relationships/image" Target="../media/image2.emf"/><Relationship Id="rId2" Type="http://schemas.openxmlformats.org/officeDocument/2006/relationships/drawing" Target="../drawings/drawing7.xml"/><Relationship Id="rId1" Type="http://schemas.openxmlformats.org/officeDocument/2006/relationships/printerSettings" Target="../printerSettings/printerSettings8.bin"/><Relationship Id="rId6" Type="http://schemas.openxmlformats.org/officeDocument/2006/relationships/control" Target="../activeX/activeX6.xml"/><Relationship Id="rId5" Type="http://schemas.openxmlformats.org/officeDocument/2006/relationships/image" Target="../media/image3.emf"/><Relationship Id="rId10" Type="http://schemas.openxmlformats.org/officeDocument/2006/relationships/comments" Target="../comments8.xml"/><Relationship Id="rId4" Type="http://schemas.openxmlformats.org/officeDocument/2006/relationships/control" Target="../activeX/activeX5.xml"/><Relationship Id="rId9" Type="http://schemas.openxmlformats.org/officeDocument/2006/relationships/table" Target="../tables/table6.xml"/></Relationships>
</file>

<file path=xl/worksheets/_rels/sheet9.xml.rels><?xml version="1.0" encoding="UTF-8" standalone="yes"?>
<Relationships xmlns="http://schemas.openxmlformats.org/package/2006/relationships"><Relationship Id="rId8" Type="http://schemas.openxmlformats.org/officeDocument/2006/relationships/table" Target="../tables/table7.xml"/><Relationship Id="rId3" Type="http://schemas.openxmlformats.org/officeDocument/2006/relationships/vmlDrawing" Target="../drawings/vmlDrawing9.vml"/><Relationship Id="rId7" Type="http://schemas.openxmlformats.org/officeDocument/2006/relationships/image" Target="../media/image2.emf"/><Relationship Id="rId2" Type="http://schemas.openxmlformats.org/officeDocument/2006/relationships/drawing" Target="../drawings/drawing8.xml"/><Relationship Id="rId1" Type="http://schemas.openxmlformats.org/officeDocument/2006/relationships/printerSettings" Target="../printerSettings/printerSettings9.bin"/><Relationship Id="rId6" Type="http://schemas.openxmlformats.org/officeDocument/2006/relationships/control" Target="../activeX/activeX8.xml"/><Relationship Id="rId5" Type="http://schemas.openxmlformats.org/officeDocument/2006/relationships/image" Target="../media/image3.emf"/><Relationship Id="rId10" Type="http://schemas.openxmlformats.org/officeDocument/2006/relationships/comments" Target="../comments9.xml"/><Relationship Id="rId4" Type="http://schemas.openxmlformats.org/officeDocument/2006/relationships/control" Target="../activeX/activeX7.xml"/><Relationship Id="rId9" Type="http://schemas.openxmlformats.org/officeDocument/2006/relationships/table" Target="../tables/table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FFFF00"/>
  </sheetPr>
  <dimension ref="A1:D145"/>
  <sheetViews>
    <sheetView tabSelected="1" topLeftCell="A4" workbookViewId="0">
      <selection activeCell="B4" sqref="B4"/>
    </sheetView>
  </sheetViews>
  <sheetFormatPr baseColWidth="10" defaultColWidth="11.42578125" defaultRowHeight="15" x14ac:dyDescent="0.25"/>
  <cols>
    <col min="1" max="1" width="23.42578125" style="8" customWidth="1"/>
    <col min="2" max="2" width="79.140625" style="8" bestFit="1" customWidth="1"/>
    <col min="3" max="3" width="11.42578125" style="8"/>
    <col min="4" max="4" width="87.7109375" style="8" customWidth="1"/>
    <col min="5" max="16384" width="11.42578125" style="8"/>
  </cols>
  <sheetData>
    <row r="1" spans="1:4" x14ac:dyDescent="0.25">
      <c r="A1" s="7" t="s">
        <v>52</v>
      </c>
      <c r="B1" s="7"/>
      <c r="C1" s="7"/>
      <c r="D1" s="7"/>
    </row>
    <row r="2" spans="1:4" ht="15.75" thickBot="1" x14ac:dyDescent="0.3"/>
    <row r="3" spans="1:4" ht="15.75" customHeight="1" thickTop="1" x14ac:dyDescent="0.25">
      <c r="A3" s="9" t="s">
        <v>98</v>
      </c>
      <c r="D3" s="728" t="s">
        <v>437</v>
      </c>
    </row>
    <row r="4" spans="1:4" ht="15" customHeight="1" x14ac:dyDescent="0.25">
      <c r="A4" s="180" t="s">
        <v>417</v>
      </c>
      <c r="B4" s="31"/>
      <c r="D4" s="729"/>
    </row>
    <row r="5" spans="1:4" x14ac:dyDescent="0.25">
      <c r="A5" s="181" t="s">
        <v>99</v>
      </c>
      <c r="B5" s="181"/>
      <c r="D5" s="729"/>
    </row>
    <row r="6" spans="1:4" x14ac:dyDescent="0.25">
      <c r="A6" s="60" t="s">
        <v>148</v>
      </c>
      <c r="B6" s="60"/>
      <c r="D6" s="729"/>
    </row>
    <row r="7" spans="1:4" x14ac:dyDescent="0.25">
      <c r="A7" s="65" t="s">
        <v>207</v>
      </c>
      <c r="B7" s="65"/>
      <c r="D7" s="729"/>
    </row>
    <row r="8" spans="1:4" x14ac:dyDescent="0.25">
      <c r="A8" s="59" t="s">
        <v>315</v>
      </c>
      <c r="B8" s="59"/>
      <c r="D8" s="729"/>
    </row>
    <row r="9" spans="1:4" x14ac:dyDescent="0.25">
      <c r="A9" s="61" t="s">
        <v>203</v>
      </c>
      <c r="B9" s="61"/>
      <c r="D9" s="729"/>
    </row>
    <row r="10" spans="1:4" x14ac:dyDescent="0.25">
      <c r="A10" s="62" t="s">
        <v>125</v>
      </c>
      <c r="B10" s="62"/>
      <c r="D10" s="729"/>
    </row>
    <row r="11" spans="1:4" x14ac:dyDescent="0.25">
      <c r="A11" s="160" t="s">
        <v>204</v>
      </c>
      <c r="B11" s="161"/>
      <c r="D11" s="729"/>
    </row>
    <row r="12" spans="1:4" x14ac:dyDescent="0.25">
      <c r="A12" s="162" t="s">
        <v>150</v>
      </c>
      <c r="B12" s="162"/>
      <c r="D12" s="729"/>
    </row>
    <row r="13" spans="1:4" ht="30" customHeight="1" x14ac:dyDescent="0.25">
      <c r="A13" s="736" t="s">
        <v>433</v>
      </c>
      <c r="B13" s="736"/>
      <c r="D13" s="729"/>
    </row>
    <row r="14" spans="1:4" x14ac:dyDescent="0.25">
      <c r="A14" s="163" t="s">
        <v>235</v>
      </c>
      <c r="B14" s="163"/>
      <c r="D14" s="729"/>
    </row>
    <row r="15" spans="1:4" ht="30" customHeight="1" x14ac:dyDescent="0.25">
      <c r="A15" s="737" t="s">
        <v>440</v>
      </c>
      <c r="B15" s="737"/>
      <c r="D15" s="729"/>
    </row>
    <row r="16" spans="1:4" x14ac:dyDescent="0.25">
      <c r="A16" s="164" t="s">
        <v>252</v>
      </c>
      <c r="B16" s="164"/>
      <c r="D16" s="729"/>
    </row>
    <row r="17" spans="1:4" x14ac:dyDescent="0.25">
      <c r="A17" s="165" t="s">
        <v>305</v>
      </c>
      <c r="B17" s="165"/>
      <c r="D17" s="729"/>
    </row>
    <row r="18" spans="1:4" x14ac:dyDescent="0.25">
      <c r="D18" s="729"/>
    </row>
    <row r="19" spans="1:4" x14ac:dyDescent="0.25">
      <c r="A19" s="41" t="s">
        <v>425</v>
      </c>
      <c r="B19" s="678"/>
      <c r="D19" s="729"/>
    </row>
    <row r="20" spans="1:4" ht="15" customHeight="1" x14ac:dyDescent="0.25">
      <c r="A20" s="27" t="s">
        <v>61</v>
      </c>
      <c r="B20" s="38">
        <v>46077</v>
      </c>
      <c r="D20" s="729"/>
    </row>
    <row r="21" spans="1:4" ht="15" customHeight="1" x14ac:dyDescent="0.25">
      <c r="A21" s="27" t="s">
        <v>362</v>
      </c>
      <c r="B21" s="38"/>
      <c r="D21" s="729"/>
    </row>
    <row r="22" spans="1:4" ht="105.75" thickBot="1" x14ac:dyDescent="0.3">
      <c r="A22" s="58" t="s">
        <v>146</v>
      </c>
      <c r="B22" s="119" t="s">
        <v>404</v>
      </c>
      <c r="D22" s="730"/>
    </row>
    <row r="23" spans="1:4" ht="60" customHeight="1" thickTop="1" x14ac:dyDescent="0.25">
      <c r="A23" s="734" t="s">
        <v>403</v>
      </c>
      <c r="B23" s="734"/>
    </row>
    <row r="24" spans="1:4" ht="73.5" customHeight="1" x14ac:dyDescent="0.25">
      <c r="A24" s="177"/>
      <c r="B24" s="177"/>
    </row>
    <row r="26" spans="1:4" ht="15.75" thickBot="1" x14ac:dyDescent="0.3">
      <c r="A26" s="9" t="s">
        <v>100</v>
      </c>
    </row>
    <row r="27" spans="1:4" ht="15.75" customHeight="1" thickTop="1" x14ac:dyDescent="0.25">
      <c r="A27" s="8" t="s">
        <v>33</v>
      </c>
      <c r="B27" s="31" t="s">
        <v>398</v>
      </c>
      <c r="D27" s="731" t="s">
        <v>479</v>
      </c>
    </row>
    <row r="28" spans="1:4" x14ac:dyDescent="0.25">
      <c r="A28" s="8" t="s">
        <v>444</v>
      </c>
      <c r="B28" s="31"/>
      <c r="D28" s="732"/>
    </row>
    <row r="29" spans="1:4" ht="15.75" thickBot="1" x14ac:dyDescent="0.3">
      <c r="A29" s="8" t="s">
        <v>338</v>
      </c>
      <c r="B29" s="141">
        <v>2027</v>
      </c>
      <c r="D29" s="733"/>
    </row>
    <row r="30" spans="1:4" ht="15.75" thickTop="1" x14ac:dyDescent="0.25">
      <c r="A30" s="8" t="s">
        <v>78</v>
      </c>
      <c r="B30" s="46">
        <f>(DAY(DATE(B29,3,0))-28)*24+365*24</f>
        <v>8760</v>
      </c>
    </row>
    <row r="32" spans="1:4" x14ac:dyDescent="0.25">
      <c r="A32" s="9" t="s">
        <v>63</v>
      </c>
    </row>
    <row r="33" spans="1:2" ht="120" customHeight="1" x14ac:dyDescent="0.25">
      <c r="A33" s="735" t="s">
        <v>324</v>
      </c>
      <c r="B33" s="735"/>
    </row>
    <row r="34" spans="1:2" x14ac:dyDescent="0.25">
      <c r="A34" s="695"/>
      <c r="B34" s="695"/>
    </row>
    <row r="35" spans="1:2" x14ac:dyDescent="0.25">
      <c r="A35" s="9" t="s">
        <v>418</v>
      </c>
    </row>
    <row r="36" spans="1:2" ht="77.25" customHeight="1" x14ac:dyDescent="0.25">
      <c r="A36" s="735" t="s">
        <v>419</v>
      </c>
      <c r="B36" s="735"/>
    </row>
    <row r="37" spans="1:2" x14ac:dyDescent="0.25">
      <c r="A37" s="695"/>
      <c r="B37" s="695"/>
    </row>
    <row r="38" spans="1:2" x14ac:dyDescent="0.25">
      <c r="A38" s="9" t="s">
        <v>164</v>
      </c>
    </row>
    <row r="39" spans="1:2" x14ac:dyDescent="0.25">
      <c r="A39" s="34" t="s">
        <v>195</v>
      </c>
      <c r="B39" s="36" t="s">
        <v>196</v>
      </c>
    </row>
    <row r="40" spans="1:2" x14ac:dyDescent="0.25">
      <c r="A40" s="36" t="s">
        <v>165</v>
      </c>
      <c r="B40" s="36" t="s">
        <v>168</v>
      </c>
    </row>
    <row r="41" spans="1:2" x14ac:dyDescent="0.25">
      <c r="A41" s="34" t="s">
        <v>166</v>
      </c>
      <c r="B41" s="36" t="s">
        <v>170</v>
      </c>
    </row>
    <row r="42" spans="1:2" ht="30" x14ac:dyDescent="0.25">
      <c r="A42" s="34" t="s">
        <v>167</v>
      </c>
      <c r="B42" s="36" t="s">
        <v>169</v>
      </c>
    </row>
    <row r="43" spans="1:2" x14ac:dyDescent="0.25">
      <c r="A43" s="695"/>
      <c r="B43" s="695"/>
    </row>
    <row r="44" spans="1:2" x14ac:dyDescent="0.25">
      <c r="A44" s="9" t="s">
        <v>53</v>
      </c>
    </row>
    <row r="45" spans="1:2" x14ac:dyDescent="0.25">
      <c r="A45" s="92" t="s">
        <v>30</v>
      </c>
      <c r="B45" s="166" t="s">
        <v>220</v>
      </c>
    </row>
    <row r="46" spans="1:2" x14ac:dyDescent="0.25">
      <c r="A46" s="93" t="s">
        <v>328</v>
      </c>
      <c r="B46" s="166" t="s">
        <v>337</v>
      </c>
    </row>
    <row r="47" spans="1:2" ht="16.5" x14ac:dyDescent="0.3">
      <c r="A47" s="167" t="s">
        <v>111</v>
      </c>
      <c r="B47" s="166" t="s">
        <v>201</v>
      </c>
    </row>
    <row r="48" spans="1:2" ht="16.5" x14ac:dyDescent="0.3">
      <c r="A48" s="167" t="s">
        <v>106</v>
      </c>
      <c r="B48" s="166" t="s">
        <v>202</v>
      </c>
    </row>
    <row r="49" spans="1:2" ht="30" x14ac:dyDescent="0.25">
      <c r="A49" s="92" t="s">
        <v>221</v>
      </c>
      <c r="B49" s="166" t="s">
        <v>223</v>
      </c>
    </row>
    <row r="50" spans="1:2" ht="46.5" x14ac:dyDescent="0.25">
      <c r="A50" s="168" t="s">
        <v>290</v>
      </c>
      <c r="B50" s="166" t="s">
        <v>294</v>
      </c>
    </row>
    <row r="51" spans="1:2" ht="30" x14ac:dyDescent="0.25">
      <c r="A51" s="92" t="s">
        <v>222</v>
      </c>
      <c r="B51" s="166" t="s">
        <v>224</v>
      </c>
    </row>
    <row r="52" spans="1:2" ht="46.5" x14ac:dyDescent="0.25">
      <c r="A52" s="168" t="s">
        <v>291</v>
      </c>
      <c r="B52" s="166" t="s">
        <v>295</v>
      </c>
    </row>
    <row r="53" spans="1:2" ht="16.5" x14ac:dyDescent="0.25">
      <c r="A53" s="169" t="s">
        <v>109</v>
      </c>
      <c r="B53" s="166" t="s">
        <v>86</v>
      </c>
    </row>
    <row r="54" spans="1:2" ht="16.5" x14ac:dyDescent="0.25">
      <c r="A54" s="169" t="s">
        <v>104</v>
      </c>
      <c r="B54" s="166" t="s">
        <v>105</v>
      </c>
    </row>
    <row r="55" spans="1:2" x14ac:dyDescent="0.25">
      <c r="A55" s="93" t="s">
        <v>55</v>
      </c>
      <c r="B55" s="8" t="s">
        <v>56</v>
      </c>
    </row>
    <row r="56" spans="1:2" ht="14.1" customHeight="1" x14ac:dyDescent="0.25">
      <c r="A56" s="169" t="s">
        <v>13</v>
      </c>
      <c r="B56" s="166" t="s">
        <v>119</v>
      </c>
    </row>
    <row r="57" spans="1:2" x14ac:dyDescent="0.25">
      <c r="A57" s="166" t="s">
        <v>134</v>
      </c>
      <c r="B57" s="166" t="s">
        <v>135</v>
      </c>
    </row>
    <row r="58" spans="1:2" x14ac:dyDescent="0.25">
      <c r="A58" s="166" t="s">
        <v>191</v>
      </c>
      <c r="B58" s="166" t="s">
        <v>192</v>
      </c>
    </row>
    <row r="59" spans="1:2" x14ac:dyDescent="0.25">
      <c r="A59" s="166" t="s">
        <v>316</v>
      </c>
      <c r="B59" s="166" t="s">
        <v>332</v>
      </c>
    </row>
    <row r="60" spans="1:2" x14ac:dyDescent="0.25">
      <c r="A60" s="166" t="s">
        <v>317</v>
      </c>
      <c r="B60" s="166" t="s">
        <v>333</v>
      </c>
    </row>
    <row r="61" spans="1:2" ht="16.5" x14ac:dyDescent="0.25">
      <c r="A61" s="172" t="s">
        <v>85</v>
      </c>
      <c r="B61" s="173" t="s">
        <v>84</v>
      </c>
    </row>
    <row r="62" spans="1:2" x14ac:dyDescent="0.25">
      <c r="A62" s="93" t="s">
        <v>82</v>
      </c>
      <c r="B62" s="8" t="s">
        <v>83</v>
      </c>
    </row>
    <row r="63" spans="1:2" ht="16.5" x14ac:dyDescent="0.25">
      <c r="A63" s="168" t="s">
        <v>25</v>
      </c>
      <c r="B63" s="174" t="s">
        <v>141</v>
      </c>
    </row>
    <row r="64" spans="1:2" x14ac:dyDescent="0.25">
      <c r="A64" s="92" t="s">
        <v>112</v>
      </c>
      <c r="B64" s="8" t="s">
        <v>90</v>
      </c>
    </row>
    <row r="65" spans="1:2" ht="16.5" x14ac:dyDescent="0.25">
      <c r="A65" s="168" t="s">
        <v>152</v>
      </c>
      <c r="B65" s="27" t="s">
        <v>6</v>
      </c>
    </row>
    <row r="66" spans="1:2" x14ac:dyDescent="0.25">
      <c r="A66" s="92" t="s">
        <v>107</v>
      </c>
      <c r="B66" s="8" t="s">
        <v>108</v>
      </c>
    </row>
    <row r="67" spans="1:2" x14ac:dyDescent="0.25">
      <c r="A67" s="166" t="s">
        <v>107</v>
      </c>
      <c r="B67" s="166" t="s">
        <v>253</v>
      </c>
    </row>
    <row r="68" spans="1:2" x14ac:dyDescent="0.25">
      <c r="A68" s="93" t="s">
        <v>57</v>
      </c>
      <c r="B68" s="8" t="s">
        <v>58</v>
      </c>
    </row>
    <row r="69" spans="1:2" ht="17.100000000000001" customHeight="1" x14ac:dyDescent="0.25">
      <c r="A69" s="93" t="s">
        <v>59</v>
      </c>
      <c r="B69" s="8" t="s">
        <v>60</v>
      </c>
    </row>
    <row r="70" spans="1:2" ht="17.100000000000001" customHeight="1" x14ac:dyDescent="0.25">
      <c r="A70" s="93" t="s">
        <v>16</v>
      </c>
      <c r="B70" s="8" t="s">
        <v>334</v>
      </c>
    </row>
    <row r="71" spans="1:2" ht="17.100000000000001" customHeight="1" x14ac:dyDescent="0.25">
      <c r="A71" s="169" t="s">
        <v>114</v>
      </c>
      <c r="B71" s="166" t="s">
        <v>116</v>
      </c>
    </row>
    <row r="72" spans="1:2" x14ac:dyDescent="0.25">
      <c r="A72" s="93" t="s">
        <v>73</v>
      </c>
      <c r="B72" s="8" t="s">
        <v>74</v>
      </c>
    </row>
    <row r="73" spans="1:2" x14ac:dyDescent="0.25">
      <c r="A73" s="93" t="s">
        <v>430</v>
      </c>
      <c r="B73" s="8" t="s">
        <v>431</v>
      </c>
    </row>
    <row r="74" spans="1:2" x14ac:dyDescent="0.25">
      <c r="A74" s="93" t="s">
        <v>420</v>
      </c>
      <c r="B74" s="8" t="s">
        <v>421</v>
      </c>
    </row>
    <row r="75" spans="1:2" x14ac:dyDescent="0.25">
      <c r="A75" s="93" t="s">
        <v>250</v>
      </c>
      <c r="B75" s="8" t="s">
        <v>251</v>
      </c>
    </row>
    <row r="76" spans="1:2" x14ac:dyDescent="0.25">
      <c r="A76" s="93" t="s">
        <v>426</v>
      </c>
      <c r="B76" s="8" t="s">
        <v>427</v>
      </c>
    </row>
    <row r="77" spans="1:2" x14ac:dyDescent="0.25">
      <c r="A77" s="93" t="s">
        <v>411</v>
      </c>
      <c r="B77" s="8" t="s">
        <v>412</v>
      </c>
    </row>
    <row r="78" spans="1:2" ht="17.100000000000001" customHeight="1" x14ac:dyDescent="0.25">
      <c r="A78" s="92" t="s">
        <v>182</v>
      </c>
      <c r="B78" s="8" t="s">
        <v>205</v>
      </c>
    </row>
    <row r="79" spans="1:2" ht="17.100000000000001" customHeight="1" x14ac:dyDescent="0.3">
      <c r="A79" s="175" t="s">
        <v>173</v>
      </c>
      <c r="B79" s="170" t="s">
        <v>210</v>
      </c>
    </row>
    <row r="80" spans="1:2" ht="17.100000000000001" customHeight="1" x14ac:dyDescent="0.3">
      <c r="A80" s="171" t="s">
        <v>288</v>
      </c>
      <c r="B80" s="170" t="s">
        <v>285</v>
      </c>
    </row>
    <row r="81" spans="1:2" ht="17.100000000000001" customHeight="1" x14ac:dyDescent="0.25">
      <c r="A81" s="175" t="s">
        <v>184</v>
      </c>
      <c r="B81" s="170" t="s">
        <v>183</v>
      </c>
    </row>
    <row r="82" spans="1:2" ht="16.5" x14ac:dyDescent="0.25">
      <c r="A82" s="175" t="s">
        <v>93</v>
      </c>
      <c r="B82" s="170" t="s">
        <v>92</v>
      </c>
    </row>
    <row r="83" spans="1:2" ht="17.100000000000001" customHeight="1" x14ac:dyDescent="0.3">
      <c r="A83" s="175" t="s">
        <v>96</v>
      </c>
      <c r="B83" s="170" t="s">
        <v>97</v>
      </c>
    </row>
    <row r="84" spans="1:2" ht="17.100000000000001" customHeight="1" x14ac:dyDescent="0.3">
      <c r="A84" s="171" t="s">
        <v>293</v>
      </c>
      <c r="B84" s="170" t="s">
        <v>292</v>
      </c>
    </row>
    <row r="85" spans="1:2" ht="16.5" x14ac:dyDescent="0.25">
      <c r="A85" s="175" t="s">
        <v>185</v>
      </c>
      <c r="B85" s="170" t="s">
        <v>186</v>
      </c>
    </row>
    <row r="86" spans="1:2" ht="17.100000000000001" customHeight="1" x14ac:dyDescent="0.3">
      <c r="A86" s="175" t="s">
        <v>176</v>
      </c>
      <c r="B86" s="170" t="s">
        <v>177</v>
      </c>
    </row>
    <row r="87" spans="1:2" ht="16.5" x14ac:dyDescent="0.25">
      <c r="A87" s="175" t="s">
        <v>188</v>
      </c>
      <c r="B87" s="170" t="s">
        <v>187</v>
      </c>
    </row>
    <row r="88" spans="1:2" ht="17.100000000000001" customHeight="1" x14ac:dyDescent="0.3">
      <c r="A88" s="168" t="s">
        <v>94</v>
      </c>
      <c r="B88" s="27" t="s">
        <v>161</v>
      </c>
    </row>
    <row r="89" spans="1:2" ht="16.5" x14ac:dyDescent="0.3">
      <c r="A89" s="168" t="s">
        <v>153</v>
      </c>
      <c r="B89" s="27" t="s">
        <v>162</v>
      </c>
    </row>
    <row r="90" spans="1:2" ht="16.5" x14ac:dyDescent="0.3">
      <c r="A90" s="176" t="s">
        <v>287</v>
      </c>
      <c r="B90" s="27" t="s">
        <v>284</v>
      </c>
    </row>
    <row r="91" spans="1:2" ht="18" x14ac:dyDescent="0.3">
      <c r="A91" s="168" t="s">
        <v>308</v>
      </c>
      <c r="B91" s="177" t="s">
        <v>309</v>
      </c>
    </row>
    <row r="92" spans="1:2" ht="18" x14ac:dyDescent="0.3">
      <c r="A92" s="168" t="s">
        <v>225</v>
      </c>
      <c r="B92" s="177" t="s">
        <v>229</v>
      </c>
    </row>
    <row r="93" spans="1:2" ht="18" x14ac:dyDescent="0.25">
      <c r="A93" s="168" t="s">
        <v>231</v>
      </c>
      <c r="B93" s="177" t="s">
        <v>234</v>
      </c>
    </row>
    <row r="94" spans="1:2" ht="18" x14ac:dyDescent="0.3">
      <c r="A94" s="168" t="s">
        <v>226</v>
      </c>
      <c r="B94" s="177" t="s">
        <v>228</v>
      </c>
    </row>
    <row r="95" spans="1:2" ht="18" x14ac:dyDescent="0.25">
      <c r="A95" s="168" t="s">
        <v>232</v>
      </c>
      <c r="B95" s="177" t="s">
        <v>233</v>
      </c>
    </row>
    <row r="96" spans="1:2" ht="18" x14ac:dyDescent="0.3">
      <c r="A96" s="168" t="s">
        <v>227</v>
      </c>
      <c r="B96" s="177" t="s">
        <v>230</v>
      </c>
    </row>
    <row r="97" spans="1:2" ht="17.100000000000001" customHeight="1" x14ac:dyDescent="0.25">
      <c r="A97" s="168" t="s">
        <v>190</v>
      </c>
      <c r="B97" s="27" t="s">
        <v>189</v>
      </c>
    </row>
    <row r="98" spans="1:2" ht="17.100000000000001" customHeight="1" x14ac:dyDescent="0.3">
      <c r="A98" s="168" t="s">
        <v>178</v>
      </c>
      <c r="B98" s="27" t="s">
        <v>179</v>
      </c>
    </row>
    <row r="99" spans="1:2" ht="16.5" x14ac:dyDescent="0.25">
      <c r="A99" s="178" t="s">
        <v>157</v>
      </c>
      <c r="B99" s="27" t="s">
        <v>0</v>
      </c>
    </row>
    <row r="100" spans="1:2" ht="16.5" x14ac:dyDescent="0.3">
      <c r="A100" s="178" t="s">
        <v>482</v>
      </c>
      <c r="B100" s="27" t="s">
        <v>483</v>
      </c>
    </row>
    <row r="101" spans="1:2" ht="16.5" x14ac:dyDescent="0.3">
      <c r="A101" s="168" t="s">
        <v>28</v>
      </c>
      <c r="B101" s="27" t="s">
        <v>159</v>
      </c>
    </row>
    <row r="102" spans="1:2" x14ac:dyDescent="0.25">
      <c r="A102" s="58" t="s">
        <v>329</v>
      </c>
      <c r="B102" s="27" t="s">
        <v>325</v>
      </c>
    </row>
    <row r="103" spans="1:2" ht="16.5" x14ac:dyDescent="0.25">
      <c r="A103" s="169" t="s">
        <v>110</v>
      </c>
      <c r="B103" s="166" t="s">
        <v>87</v>
      </c>
    </row>
    <row r="104" spans="1:2" ht="16.5" x14ac:dyDescent="0.25">
      <c r="A104" s="169" t="s">
        <v>101</v>
      </c>
      <c r="B104" s="27" t="s">
        <v>102</v>
      </c>
    </row>
    <row r="105" spans="1:2" ht="17.100000000000001" customHeight="1" x14ac:dyDescent="0.25">
      <c r="A105" s="34" t="s">
        <v>241</v>
      </c>
      <c r="B105" s="8" t="s">
        <v>247</v>
      </c>
    </row>
    <row r="106" spans="1:2" ht="17.100000000000001" customHeight="1" x14ac:dyDescent="0.25">
      <c r="A106" s="34" t="s">
        <v>365</v>
      </c>
      <c r="B106" s="166" t="s">
        <v>87</v>
      </c>
    </row>
    <row r="107" spans="1:2" ht="17.100000000000001" customHeight="1" x14ac:dyDescent="0.25">
      <c r="A107" s="34" t="s">
        <v>366</v>
      </c>
      <c r="B107" s="27" t="s">
        <v>102</v>
      </c>
    </row>
    <row r="108" spans="1:2" ht="17.100000000000001" customHeight="1" x14ac:dyDescent="0.3">
      <c r="A108" s="168" t="s">
        <v>31</v>
      </c>
      <c r="B108" s="27" t="s">
        <v>158</v>
      </c>
    </row>
    <row r="109" spans="1:2" ht="30" customHeight="1" x14ac:dyDescent="0.25">
      <c r="A109" s="58" t="s">
        <v>322</v>
      </c>
      <c r="B109" s="166" t="s">
        <v>335</v>
      </c>
    </row>
    <row r="110" spans="1:2" ht="30" customHeight="1" x14ac:dyDescent="0.25">
      <c r="A110" s="58" t="s">
        <v>323</v>
      </c>
      <c r="B110" s="166" t="s">
        <v>336</v>
      </c>
    </row>
    <row r="111" spans="1:2" ht="30" x14ac:dyDescent="0.25">
      <c r="A111" s="168" t="s">
        <v>26</v>
      </c>
      <c r="B111" s="177" t="s">
        <v>480</v>
      </c>
    </row>
    <row r="112" spans="1:2" ht="32.25" customHeight="1" x14ac:dyDescent="0.25">
      <c r="A112" s="168" t="s">
        <v>286</v>
      </c>
      <c r="B112" s="177" t="s">
        <v>481</v>
      </c>
    </row>
    <row r="113" spans="1:2" x14ac:dyDescent="0.25">
      <c r="A113" s="179" t="s">
        <v>14</v>
      </c>
      <c r="B113" s="166" t="s">
        <v>88</v>
      </c>
    </row>
    <row r="114" spans="1:2" ht="16.5" x14ac:dyDescent="0.25">
      <c r="A114" s="169" t="s">
        <v>89</v>
      </c>
      <c r="B114" s="166" t="s">
        <v>117</v>
      </c>
    </row>
    <row r="115" spans="1:2" x14ac:dyDescent="0.25">
      <c r="A115" s="93" t="s">
        <v>62</v>
      </c>
      <c r="B115" s="8" t="s">
        <v>4</v>
      </c>
    </row>
    <row r="116" spans="1:2" x14ac:dyDescent="0.25">
      <c r="A116" s="34" t="s">
        <v>428</v>
      </c>
      <c r="B116" s="8" t="s">
        <v>429</v>
      </c>
    </row>
    <row r="117" spans="1:2" s="34" customFormat="1" x14ac:dyDescent="0.25">
      <c r="B117" s="8"/>
    </row>
    <row r="118" spans="1:2" s="34" customFormat="1" x14ac:dyDescent="0.25">
      <c r="B118" s="8"/>
    </row>
    <row r="119" spans="1:2" s="34" customFormat="1" x14ac:dyDescent="0.25">
      <c r="B119" s="8"/>
    </row>
    <row r="120" spans="1:2" s="34" customFormat="1" ht="30" customHeight="1" x14ac:dyDescent="0.25">
      <c r="B120" s="8"/>
    </row>
    <row r="121" spans="1:2" x14ac:dyDescent="0.25">
      <c r="A121" s="34"/>
    </row>
    <row r="122" spans="1:2" x14ac:dyDescent="0.25">
      <c r="A122" s="34"/>
    </row>
    <row r="123" spans="1:2" x14ac:dyDescent="0.25">
      <c r="A123" s="34"/>
    </row>
    <row r="124" spans="1:2" x14ac:dyDescent="0.25">
      <c r="A124" s="34"/>
    </row>
    <row r="125" spans="1:2" x14ac:dyDescent="0.25">
      <c r="A125" s="34"/>
    </row>
    <row r="126" spans="1:2" x14ac:dyDescent="0.25">
      <c r="A126" s="34"/>
    </row>
    <row r="127" spans="1:2" x14ac:dyDescent="0.25">
      <c r="A127" s="34"/>
    </row>
    <row r="128" spans="1:2" x14ac:dyDescent="0.25">
      <c r="A128" s="34"/>
    </row>
    <row r="129" spans="1:2" x14ac:dyDescent="0.25">
      <c r="A129" s="34"/>
    </row>
    <row r="130" spans="1:2" x14ac:dyDescent="0.25">
      <c r="A130" s="34"/>
    </row>
    <row r="131" spans="1:2" x14ac:dyDescent="0.25">
      <c r="A131" s="34"/>
    </row>
    <row r="132" spans="1:2" x14ac:dyDescent="0.25">
      <c r="A132" s="34"/>
    </row>
    <row r="133" spans="1:2" x14ac:dyDescent="0.25">
      <c r="A133" s="34"/>
    </row>
    <row r="134" spans="1:2" x14ac:dyDescent="0.25">
      <c r="A134" s="34"/>
    </row>
    <row r="135" spans="1:2" ht="45" customHeight="1" x14ac:dyDescent="0.25">
      <c r="A135" s="34"/>
    </row>
    <row r="136" spans="1:2" s="19" customFormat="1" x14ac:dyDescent="0.25">
      <c r="A136" s="34"/>
      <c r="B136" s="8"/>
    </row>
    <row r="137" spans="1:2" s="19" customFormat="1" x14ac:dyDescent="0.25">
      <c r="A137" s="34"/>
      <c r="B137" s="8"/>
    </row>
    <row r="138" spans="1:2" x14ac:dyDescent="0.25">
      <c r="A138" s="34"/>
    </row>
    <row r="139" spans="1:2" x14ac:dyDescent="0.25">
      <c r="A139" s="34"/>
    </row>
    <row r="140" spans="1:2" x14ac:dyDescent="0.25">
      <c r="A140" s="34"/>
    </row>
    <row r="141" spans="1:2" x14ac:dyDescent="0.25">
      <c r="A141" s="34"/>
    </row>
    <row r="142" spans="1:2" x14ac:dyDescent="0.25">
      <c r="A142" s="34"/>
    </row>
    <row r="143" spans="1:2" x14ac:dyDescent="0.25">
      <c r="A143" s="34"/>
    </row>
    <row r="145" s="19" customFormat="1" x14ac:dyDescent="0.25"/>
  </sheetData>
  <sheetProtection algorithmName="SHA-512" hashValue="8awzKOjffPlhedpi0xy49/AdVGNp98eu+23hVUlC77jdK0mHNd+/LoqlRedTPfbNose/X+t4kTrVFuNasyklBQ==" saltValue="77lOXXwlNzAb+LqFNXNDcg==" spinCount="100000" sheet="1" objects="1" scenarios="1" formatCells="0"/>
  <sortState xmlns:xlrd2="http://schemas.microsoft.com/office/spreadsheetml/2017/richdata2" ref="A40:B89">
    <sortCondition ref="A40:A89"/>
  </sortState>
  <mergeCells count="7">
    <mergeCell ref="D3:D22"/>
    <mergeCell ref="D27:D29"/>
    <mergeCell ref="A23:B23"/>
    <mergeCell ref="A33:B33"/>
    <mergeCell ref="A36:B36"/>
    <mergeCell ref="A13:B13"/>
    <mergeCell ref="A15:B15"/>
  </mergeCells>
  <conditionalFormatting sqref="B29">
    <cfRule type="expression" dxfId="601" priority="2">
      <formula>B29=""</formula>
    </cfRule>
  </conditionalFormatting>
  <dataValidations count="2">
    <dataValidation type="list" allowBlank="1" showInputMessage="1" showErrorMessage="1" sqref="B31 B25" xr:uid="{00000000-0002-0000-0000-000000000000}">
      <formula1>"j,n"</formula1>
    </dataValidation>
    <dataValidation type="whole" allowBlank="1" showInputMessage="1" showErrorMessage="1" sqref="B29" xr:uid="{00000000-0002-0000-0000-000001000000}">
      <formula1>2013</formula1>
      <formula2>2050</formula2>
    </dataValidation>
  </dataValidations>
  <printOptions horizontalCentered="1"/>
  <pageMargins left="0.19685039370078741" right="0.19685039370078741" top="0.39370078740157483" bottom="0.39370078740157483" header="0.31496062992125984" footer="0.31496062992125984"/>
  <pageSetup paperSize="9" scale="91" orientation="portrait" r:id="rId1"/>
  <headerFooter>
    <oddFooter>&amp;C&amp;D</oddFooter>
  </headerFooter>
  <rowBreaks count="2" manualBreakCount="2">
    <brk id="42" max="1" man="1"/>
    <brk id="77" max="1" man="1"/>
  </rowBreaks>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0">
    <tabColor rgb="FFFFFF00"/>
  </sheetPr>
  <dimension ref="A1:AE72"/>
  <sheetViews>
    <sheetView topLeftCell="A35" workbookViewId="0">
      <selection activeCell="J53" sqref="J53:J64"/>
    </sheetView>
  </sheetViews>
  <sheetFormatPr baseColWidth="10" defaultColWidth="11.42578125" defaultRowHeight="15" x14ac:dyDescent="0.25"/>
  <cols>
    <col min="1" max="1" width="67.7109375" style="27" customWidth="1"/>
    <col min="2" max="2" width="15.7109375" style="27" customWidth="1"/>
    <col min="3" max="3" width="15.28515625" style="27" customWidth="1"/>
    <col min="4" max="9" width="16.7109375" style="27" customWidth="1"/>
    <col min="10" max="12" width="8.7109375" style="27" customWidth="1"/>
    <col min="13" max="17" width="16.7109375" style="27" customWidth="1"/>
    <col min="18" max="20" width="16" style="27" customWidth="1"/>
    <col min="21" max="21" width="16" style="69" customWidth="1"/>
    <col min="22" max="23" width="16" style="27" customWidth="1"/>
    <col min="24" max="29" width="15.85546875" style="27" customWidth="1"/>
    <col min="30" max="31" width="15.7109375" style="27" customWidth="1"/>
    <col min="32" max="16384" width="11.42578125" style="27"/>
  </cols>
  <sheetData>
    <row r="1" spans="1:30" x14ac:dyDescent="0.25">
      <c r="A1" s="4" t="str">
        <f>'JHL NS'!A1</f>
        <v>XY GmbH</v>
      </c>
      <c r="B1" s="4" t="str">
        <f>+IF(AF!B1="","",AF!B1)</f>
        <v/>
      </c>
      <c r="C1" s="4"/>
      <c r="D1" s="4"/>
      <c r="E1" s="4"/>
      <c r="F1" s="4"/>
      <c r="G1" s="4"/>
      <c r="H1" s="4"/>
      <c r="I1" s="4"/>
      <c r="J1" s="4"/>
      <c r="K1" s="4"/>
      <c r="L1" s="4"/>
      <c r="M1" s="4"/>
      <c r="N1" s="4"/>
      <c r="O1" s="4"/>
      <c r="P1" s="4"/>
      <c r="Q1" s="4"/>
      <c r="R1" s="4"/>
      <c r="S1" s="4"/>
      <c r="T1" s="4"/>
      <c r="U1" s="264"/>
      <c r="V1" s="4"/>
      <c r="W1" s="4"/>
      <c r="X1" s="4"/>
      <c r="Y1" s="4"/>
      <c r="Z1" s="4"/>
      <c r="AA1" s="4"/>
      <c r="AB1" s="4"/>
      <c r="AC1" s="4"/>
      <c r="AD1" s="4"/>
    </row>
    <row r="2" spans="1:30" x14ac:dyDescent="0.25">
      <c r="A2" s="182"/>
      <c r="U2" s="27"/>
    </row>
    <row r="3" spans="1:30" ht="15" customHeight="1" x14ac:dyDescent="0.25">
      <c r="A3" s="41" t="s">
        <v>20</v>
      </c>
      <c r="U3" s="27"/>
      <c r="V3" s="742" t="s">
        <v>289</v>
      </c>
      <c r="W3" s="743"/>
      <c r="X3" s="743"/>
      <c r="Y3" s="743"/>
      <c r="Z3" s="743"/>
      <c r="AA3" s="743"/>
      <c r="AB3" s="743"/>
      <c r="AC3" s="743"/>
      <c r="AD3" s="744"/>
    </row>
    <row r="4" spans="1:30" x14ac:dyDescent="0.25">
      <c r="U4" s="27"/>
      <c r="V4" s="745"/>
      <c r="W4" s="746"/>
      <c r="X4" s="746"/>
      <c r="Y4" s="746"/>
      <c r="Z4" s="746"/>
      <c r="AA4" s="746"/>
      <c r="AB4" s="746"/>
      <c r="AC4" s="746"/>
      <c r="AD4" s="747"/>
    </row>
    <row r="5" spans="1:30" x14ac:dyDescent="0.25">
      <c r="A5" s="265" t="s">
        <v>408</v>
      </c>
      <c r="U5" s="27"/>
      <c r="V5" s="745"/>
      <c r="W5" s="746"/>
      <c r="X5" s="746"/>
      <c r="Y5" s="746"/>
      <c r="Z5" s="746"/>
      <c r="AA5" s="746"/>
      <c r="AB5" s="746"/>
      <c r="AC5" s="746"/>
      <c r="AD5" s="747"/>
    </row>
    <row r="6" spans="1:30" x14ac:dyDescent="0.25">
      <c r="A6" s="41"/>
      <c r="U6" s="27"/>
      <c r="V6" s="745"/>
      <c r="W6" s="746"/>
      <c r="X6" s="746"/>
      <c r="Y6" s="746"/>
      <c r="Z6" s="746"/>
      <c r="AA6" s="746"/>
      <c r="AB6" s="746"/>
      <c r="AC6" s="746"/>
      <c r="AD6" s="747"/>
    </row>
    <row r="7" spans="1:30" x14ac:dyDescent="0.25">
      <c r="A7" s="266"/>
      <c r="B7" s="266"/>
      <c r="C7" s="267" t="s">
        <v>7</v>
      </c>
      <c r="P7" s="69"/>
      <c r="Q7" s="69"/>
      <c r="R7" s="69"/>
      <c r="S7" s="69"/>
      <c r="T7" s="69"/>
      <c r="U7" s="27"/>
      <c r="V7" s="745"/>
      <c r="W7" s="746"/>
      <c r="X7" s="746"/>
      <c r="Y7" s="746"/>
      <c r="Z7" s="746"/>
      <c r="AA7" s="746"/>
      <c r="AB7" s="746"/>
      <c r="AC7" s="746"/>
      <c r="AD7" s="747"/>
    </row>
    <row r="8" spans="1:30" s="174" customFormat="1" ht="16.5" x14ac:dyDescent="0.2">
      <c r="A8" s="268" t="s">
        <v>346</v>
      </c>
      <c r="B8" s="269" t="s">
        <v>25</v>
      </c>
      <c r="C8" s="270">
        <f>(AF!I14+AF!K14+AF!J14)*(1+AF!P14)</f>
        <v>0</v>
      </c>
      <c r="E8" s="173"/>
      <c r="F8" s="173"/>
      <c r="G8" s="173"/>
      <c r="O8" s="271"/>
      <c r="P8" s="272"/>
      <c r="Q8" s="272"/>
      <c r="R8" s="272"/>
      <c r="S8" s="272"/>
      <c r="T8" s="272"/>
      <c r="V8" s="748"/>
      <c r="W8" s="749"/>
      <c r="X8" s="749"/>
      <c r="Y8" s="749"/>
      <c r="Z8" s="749"/>
      <c r="AA8" s="749"/>
      <c r="AB8" s="749"/>
      <c r="AC8" s="749"/>
      <c r="AD8" s="750"/>
    </row>
    <row r="9" spans="1:30" ht="16.5" x14ac:dyDescent="0.3">
      <c r="A9" s="273" t="s">
        <v>142</v>
      </c>
      <c r="B9" s="274" t="s">
        <v>143</v>
      </c>
      <c r="C9" s="275">
        <f>-AF!D14-AF!C14</f>
        <v>0</v>
      </c>
      <c r="E9" s="170"/>
      <c r="O9" s="171"/>
      <c r="P9" s="66"/>
      <c r="Q9" s="66"/>
      <c r="R9" s="66"/>
      <c r="S9" s="66"/>
      <c r="T9" s="66"/>
      <c r="U9" s="276"/>
      <c r="V9" s="66"/>
    </row>
    <row r="10" spans="1:30" ht="16.5" x14ac:dyDescent="0.3">
      <c r="A10" s="277" t="s">
        <v>6</v>
      </c>
      <c r="B10" s="278" t="s">
        <v>160</v>
      </c>
      <c r="C10" s="279">
        <f>MAX(0,C8+C9)</f>
        <v>0</v>
      </c>
      <c r="E10" s="41"/>
      <c r="F10" s="41"/>
      <c r="G10" s="280"/>
      <c r="O10" s="281"/>
      <c r="P10" s="282"/>
      <c r="Q10" s="282"/>
      <c r="R10" s="282"/>
      <c r="S10" s="282"/>
      <c r="T10" s="282"/>
      <c r="U10" s="283"/>
      <c r="V10" s="282"/>
    </row>
    <row r="12" spans="1:30" ht="45" customHeight="1" x14ac:dyDescent="0.25">
      <c r="A12" s="284" t="s">
        <v>144</v>
      </c>
      <c r="B12" s="285" t="s">
        <v>145</v>
      </c>
      <c r="C12" s="286">
        <f>D69</f>
        <v>0</v>
      </c>
      <c r="F12" s="66"/>
      <c r="U12" s="27"/>
      <c r="V12" s="287" t="s">
        <v>382</v>
      </c>
      <c r="W12" s="288" t="s">
        <v>383</v>
      </c>
    </row>
    <row r="13" spans="1:30" ht="15" customHeight="1" x14ac:dyDescent="0.25">
      <c r="B13" s="176"/>
      <c r="P13" s="289" t="s">
        <v>299</v>
      </c>
      <c r="Q13" s="290"/>
      <c r="R13" s="290"/>
      <c r="S13" s="290"/>
      <c r="T13" s="290"/>
      <c r="U13" s="290"/>
      <c r="V13" s="64"/>
      <c r="W13" s="63"/>
    </row>
    <row r="14" spans="1:30" ht="15" customHeight="1" x14ac:dyDescent="0.3">
      <c r="A14" s="291" t="s">
        <v>163</v>
      </c>
      <c r="B14" s="292" t="s">
        <v>28</v>
      </c>
      <c r="C14" s="293">
        <f>IF(C12=0,0,C10/C12)</f>
        <v>0</v>
      </c>
      <c r="P14" s="294" t="s">
        <v>300</v>
      </c>
      <c r="Q14" s="295"/>
      <c r="R14" s="295"/>
      <c r="S14" s="295"/>
      <c r="T14" s="295"/>
      <c r="U14" s="295"/>
      <c r="V14" s="482">
        <f>SUMIF('vermNE MN'!$B$38:$B$49,Listen!A2,'vermNE MN'!$X$38:$X$49)+SUMIF('vermNE MN'!$B$53:$B$64,Listen!A2,'vermNE MN'!$X$53:$X$64)</f>
        <v>0</v>
      </c>
      <c r="W14" s="483">
        <f>SUMIF('vermNE MN'!$B$38:$B$49,Listen!$A$2,'vermNE MN'!$Y$38:$Y$49)</f>
        <v>0</v>
      </c>
    </row>
    <row r="15" spans="1:30" ht="15" customHeight="1" x14ac:dyDescent="0.25">
      <c r="B15" s="176"/>
      <c r="C15" s="70"/>
      <c r="P15" s="296" t="s">
        <v>301</v>
      </c>
      <c r="Q15" s="297"/>
      <c r="R15" s="297"/>
      <c r="S15" s="297"/>
      <c r="T15" s="297"/>
      <c r="U15" s="297"/>
      <c r="V15" s="298">
        <f>V13+V14</f>
        <v>0</v>
      </c>
      <c r="W15" s="299">
        <f>W13+W14</f>
        <v>0</v>
      </c>
    </row>
    <row r="16" spans="1:30" x14ac:dyDescent="0.25">
      <c r="A16" s="300" t="s">
        <v>34</v>
      </c>
      <c r="B16" s="6" t="s">
        <v>1</v>
      </c>
      <c r="C16" s="264"/>
      <c r="D16" s="264"/>
      <c r="P16" s="289" t="s">
        <v>303</v>
      </c>
      <c r="Q16" s="290"/>
      <c r="R16" s="290"/>
      <c r="S16" s="290"/>
      <c r="T16" s="290"/>
      <c r="U16" s="290"/>
      <c r="V16" s="681">
        <f>Q69</f>
        <v>0</v>
      </c>
      <c r="W16" s="682">
        <f>V69</f>
        <v>0</v>
      </c>
    </row>
    <row r="17" spans="1:25" x14ac:dyDescent="0.25">
      <c r="A17" s="266"/>
      <c r="B17" s="301"/>
      <c r="C17" s="267" t="s">
        <v>9</v>
      </c>
      <c r="D17" s="302"/>
      <c r="E17" s="303" t="s">
        <v>50</v>
      </c>
      <c r="F17" s="291" t="s">
        <v>49</v>
      </c>
      <c r="G17" s="304"/>
      <c r="H17" s="304"/>
      <c r="I17" s="304"/>
      <c r="J17" s="304"/>
      <c r="K17" s="304"/>
      <c r="L17" s="304"/>
      <c r="M17" s="304"/>
      <c r="N17" s="305"/>
      <c r="O17" s="306"/>
      <c r="P17" s="307" t="s">
        <v>302</v>
      </c>
      <c r="Q17" s="308"/>
      <c r="R17" s="308"/>
      <c r="S17" s="308"/>
      <c r="T17" s="308"/>
      <c r="U17" s="308"/>
      <c r="V17" s="679">
        <f>V15-V16</f>
        <v>0</v>
      </c>
      <c r="W17" s="680">
        <f>W15-W16</f>
        <v>0</v>
      </c>
    </row>
    <row r="18" spans="1:25" ht="15" customHeight="1" x14ac:dyDescent="0.3">
      <c r="A18" s="266" t="s">
        <v>171</v>
      </c>
      <c r="B18" s="301" t="s">
        <v>156</v>
      </c>
      <c r="C18" s="144">
        <f>'JHL NS'!B50</f>
        <v>0</v>
      </c>
      <c r="D18" s="311" t="s">
        <v>26</v>
      </c>
      <c r="E18" s="157" t="str">
        <f>'JHL NS'!B25</f>
        <v>noch einzutragen</v>
      </c>
      <c r="F18" s="266"/>
      <c r="G18" s="312"/>
      <c r="H18" s="312"/>
      <c r="I18" s="312"/>
      <c r="J18" s="312"/>
      <c r="K18" s="312"/>
      <c r="L18" s="312"/>
      <c r="M18" s="312"/>
      <c r="N18" s="313"/>
      <c r="O18" s="306"/>
      <c r="U18" s="27"/>
      <c r="V18" s="69"/>
    </row>
    <row r="19" spans="1:25" ht="16.5" x14ac:dyDescent="0.3">
      <c r="A19" s="273" t="s">
        <v>15</v>
      </c>
      <c r="B19" s="274" t="s">
        <v>95</v>
      </c>
      <c r="C19" s="116"/>
      <c r="D19" s="314"/>
      <c r="E19" s="40"/>
      <c r="F19" s="315" t="str">
        <f>IF(B16="n","Jahreshöchstlast der Übergabestelle(n) lt. Eingangsrechnung/des Bezugssummenlastgangs","Summe der Jahreshöchstlasten lt. Eingangsrechnungen/Summe der Jahreshöchstlasten der Bezugslastgänge der ungepoolten Übergabestellen")</f>
        <v>Summe der Jahreshöchstlasten lt. Eingangsrechnungen/Summe der Jahreshöchstlasten der Bezugslastgänge der ungepoolten Übergabestellen</v>
      </c>
      <c r="G19" s="4"/>
      <c r="H19" s="4"/>
      <c r="I19" s="4"/>
      <c r="J19" s="4"/>
      <c r="K19" s="4"/>
      <c r="L19" s="4"/>
      <c r="M19" s="4"/>
      <c r="N19" s="316"/>
      <c r="O19" s="306"/>
      <c r="P19" s="291"/>
      <c r="Q19" s="304"/>
      <c r="R19" s="304"/>
      <c r="S19" s="304"/>
      <c r="T19" s="304"/>
      <c r="U19" s="304"/>
      <c r="V19" s="292"/>
      <c r="W19" s="326" t="s">
        <v>9</v>
      </c>
      <c r="X19" s="291"/>
      <c r="Y19" s="305" t="s">
        <v>50</v>
      </c>
    </row>
    <row r="20" spans="1:25" ht="16.5" customHeight="1" x14ac:dyDescent="0.3">
      <c r="A20" s="277" t="s">
        <v>0</v>
      </c>
      <c r="B20" s="317" t="s">
        <v>151</v>
      </c>
      <c r="C20" s="318">
        <f>MAX(C18+C19,0)</f>
        <v>0</v>
      </c>
      <c r="F20" s="319"/>
      <c r="H20" s="320"/>
      <c r="P20" s="266" t="s">
        <v>387</v>
      </c>
      <c r="Q20" s="312"/>
      <c r="R20" s="312"/>
      <c r="S20" s="312"/>
      <c r="U20" s="27"/>
      <c r="V20" s="301" t="s">
        <v>287</v>
      </c>
      <c r="W20" s="115"/>
      <c r="X20" s="301" t="s">
        <v>286</v>
      </c>
      <c r="Y20" s="148"/>
    </row>
    <row r="21" spans="1:25" ht="15" customHeight="1" x14ac:dyDescent="0.3">
      <c r="A21" s="306"/>
      <c r="B21" s="176"/>
      <c r="C21" s="321"/>
      <c r="D21" s="322"/>
      <c r="F21" s="319"/>
      <c r="G21" s="291" t="s">
        <v>424</v>
      </c>
      <c r="H21" s="304"/>
      <c r="I21" s="304"/>
      <c r="J21" s="502">
        <v>0</v>
      </c>
      <c r="K21" s="502">
        <v>0</v>
      </c>
      <c r="L21" s="304"/>
      <c r="M21" s="304"/>
      <c r="N21" s="305"/>
      <c r="P21" s="329" t="s">
        <v>285</v>
      </c>
      <c r="U21" s="27"/>
      <c r="V21" s="330" t="s">
        <v>288</v>
      </c>
      <c r="W21" s="113"/>
      <c r="X21" s="333" t="s">
        <v>286</v>
      </c>
      <c r="Y21" s="334">
        <f>Y20</f>
        <v>0</v>
      </c>
    </row>
    <row r="22" spans="1:25" ht="15" customHeight="1" x14ac:dyDescent="0.3">
      <c r="A22" s="266"/>
      <c r="B22" s="301"/>
      <c r="C22" s="323" t="s">
        <v>9</v>
      </c>
      <c r="D22" s="324"/>
      <c r="E22" s="325" t="str">
        <f>E17</f>
        <v>Zeitpunkt</v>
      </c>
      <c r="G22" s="266"/>
      <c r="H22" s="312"/>
      <c r="I22" s="312"/>
      <c r="J22" s="312"/>
      <c r="K22" s="312"/>
      <c r="L22" s="739" t="s">
        <v>376</v>
      </c>
      <c r="M22" s="751" t="s">
        <v>373</v>
      </c>
      <c r="N22" s="753" t="s">
        <v>372</v>
      </c>
      <c r="P22" s="335" t="s">
        <v>388</v>
      </c>
      <c r="Q22" s="4"/>
      <c r="R22" s="4"/>
      <c r="S22" s="4"/>
      <c r="T22" s="4"/>
      <c r="U22" s="4"/>
      <c r="V22" s="274" t="s">
        <v>390</v>
      </c>
      <c r="W22" s="114"/>
      <c r="X22" s="337" t="s">
        <v>286</v>
      </c>
      <c r="Y22" s="338">
        <f>Y21</f>
        <v>0</v>
      </c>
    </row>
    <row r="23" spans="1:25" ht="14.25" customHeight="1" x14ac:dyDescent="0.3">
      <c r="A23" s="266" t="s">
        <v>172</v>
      </c>
      <c r="B23" s="301" t="s">
        <v>156</v>
      </c>
      <c r="C23" s="327">
        <f>C18</f>
        <v>0</v>
      </c>
      <c r="D23" s="311" t="s">
        <v>26</v>
      </c>
      <c r="E23" s="328" t="str">
        <f>IF($E$18="","",$E$18)</f>
        <v>noch einzutragen</v>
      </c>
      <c r="G23" s="306"/>
      <c r="L23" s="740"/>
      <c r="M23" s="752"/>
      <c r="N23" s="754"/>
      <c r="P23" s="291" t="s">
        <v>389</v>
      </c>
      <c r="Q23" s="304"/>
      <c r="R23" s="304"/>
      <c r="S23" s="304"/>
      <c r="T23" s="304"/>
      <c r="U23" s="304"/>
      <c r="V23" s="337" t="s">
        <v>391</v>
      </c>
      <c r="W23" s="342">
        <f>SUM(W20:W22)</f>
        <v>0</v>
      </c>
      <c r="X23" s="337" t="s">
        <v>286</v>
      </c>
      <c r="Y23" s="338">
        <f>Y22</f>
        <v>0</v>
      </c>
    </row>
    <row r="24" spans="1:25" ht="15" customHeight="1" x14ac:dyDescent="0.3">
      <c r="A24" s="329" t="s">
        <v>210</v>
      </c>
      <c r="B24" s="330" t="s">
        <v>173</v>
      </c>
      <c r="C24" s="158">
        <f>-'JHL NS'!B48-'JHL NS'!B49</f>
        <v>0</v>
      </c>
      <c r="D24" s="331" t="s">
        <v>26</v>
      </c>
      <c r="E24" s="332" t="str">
        <f>IF($E$18="","",$E$18)</f>
        <v>noch einzutragen</v>
      </c>
      <c r="G24" s="306"/>
      <c r="L24" s="740"/>
      <c r="M24" s="752"/>
      <c r="N24" s="754"/>
      <c r="W24" s="304"/>
    </row>
    <row r="25" spans="1:25" ht="16.5" customHeight="1" x14ac:dyDescent="0.3">
      <c r="A25" s="335" t="s">
        <v>68</v>
      </c>
      <c r="B25" s="274" t="s">
        <v>147</v>
      </c>
      <c r="C25" s="159">
        <f>-'JHL NS'!B43-'JHL NS'!B44</f>
        <v>0</v>
      </c>
      <c r="D25" s="314" t="s">
        <v>26</v>
      </c>
      <c r="E25" s="336" t="str">
        <f>IF($E$18="","",$E$18)</f>
        <v>noch einzutragen</v>
      </c>
      <c r="G25" s="306"/>
      <c r="L25" s="740"/>
      <c r="M25" s="752"/>
      <c r="N25" s="754"/>
      <c r="P25" s="266" t="s">
        <v>394</v>
      </c>
      <c r="Q25" s="312"/>
      <c r="R25" s="312"/>
      <c r="S25" s="312"/>
      <c r="T25" s="312"/>
      <c r="U25" s="312"/>
      <c r="V25" s="301" t="s">
        <v>290</v>
      </c>
      <c r="W25" s="349">
        <f>IF($C$28=1,
IF($D$67+$D$68&lt;&gt;0,(W23-R$66)/(($D$67+$D$68)/Allgemeines!$B$30),0),
IF($D$67&lt;&gt;0,R67/($D$67/Allgemeines!$B$30),0))</f>
        <v>0</v>
      </c>
    </row>
    <row r="26" spans="1:25" ht="16.5" customHeight="1" x14ac:dyDescent="0.3">
      <c r="A26" s="291" t="s">
        <v>174</v>
      </c>
      <c r="B26" s="292" t="s">
        <v>175</v>
      </c>
      <c r="C26" s="339">
        <f>SUM(C23:C25)</f>
        <v>0</v>
      </c>
      <c r="D26" s="314" t="s">
        <v>26</v>
      </c>
      <c r="E26" s="336" t="str">
        <f>IF($E$18="","",$E$18)</f>
        <v>noch einzutragen</v>
      </c>
      <c r="G26" s="315"/>
      <c r="H26" s="756" t="s">
        <v>375</v>
      </c>
      <c r="I26" s="756"/>
      <c r="J26" s="756"/>
      <c r="K26" s="756"/>
      <c r="L26" s="741"/>
      <c r="M26" s="340" t="s">
        <v>374</v>
      </c>
      <c r="N26" s="341" t="s">
        <v>476</v>
      </c>
      <c r="P26" s="315" t="s">
        <v>395</v>
      </c>
      <c r="Q26" s="4"/>
      <c r="R26" s="4"/>
      <c r="S26" s="4"/>
      <c r="T26" s="4"/>
      <c r="U26" s="4"/>
      <c r="V26" s="337" t="s">
        <v>291</v>
      </c>
      <c r="W26" s="351">
        <f>IF($C$28=1,W25,
IF($D$68&lt;&gt;0,(W23-SUM(R$38:R$49))/($D$68/Allgemeines!$B$30),0))</f>
        <v>0</v>
      </c>
    </row>
    <row r="27" spans="1:25" ht="16.5" customHeight="1" x14ac:dyDescent="0.25">
      <c r="B27" s="176"/>
      <c r="C27" s="66"/>
      <c r="D27" s="343"/>
      <c r="E27" s="344"/>
      <c r="G27" s="345" t="str">
        <f>CONCATENATE("Preisblatt für ",Allgemeines!B29)</f>
        <v>Preisblatt für 2027</v>
      </c>
      <c r="H27" s="755"/>
      <c r="I27" s="755"/>
      <c r="J27" s="755"/>
      <c r="K27" s="755"/>
      <c r="L27" s="346"/>
      <c r="M27" s="126"/>
      <c r="N27" s="127"/>
    </row>
    <row r="28" spans="1:25" x14ac:dyDescent="0.25">
      <c r="A28" s="266" t="s">
        <v>211</v>
      </c>
      <c r="B28" s="301"/>
      <c r="C28" s="347">
        <v>2</v>
      </c>
      <c r="D28" s="343"/>
      <c r="E28" s="319"/>
      <c r="G28" s="348" t="s">
        <v>325</v>
      </c>
      <c r="H28" s="757"/>
      <c r="I28" s="757"/>
      <c r="J28" s="757"/>
      <c r="K28" s="757"/>
      <c r="L28" s="135">
        <v>1</v>
      </c>
      <c r="M28" s="565"/>
      <c r="N28" s="129"/>
      <c r="U28" s="27"/>
      <c r="W28" s="553" t="s">
        <v>10</v>
      </c>
    </row>
    <row r="29" spans="1:25" ht="18" x14ac:dyDescent="0.25">
      <c r="A29" s="306" t="s">
        <v>212</v>
      </c>
      <c r="B29" s="333" t="s">
        <v>217</v>
      </c>
      <c r="C29" s="349">
        <f>IF($C$28=1,
IF($D$67+$D$68&lt;&gt;0,($C$26-G$66)/(($D$67+$D$68)/Allgemeines!$B$30),0),
IF($D$67&lt;&gt;0,G67/($D$67/Allgemeines!$B$30),0))</f>
        <v>0</v>
      </c>
      <c r="G29" s="350" t="s">
        <v>325</v>
      </c>
      <c r="H29" s="758"/>
      <c r="I29" s="758"/>
      <c r="J29" s="758"/>
      <c r="K29" s="758"/>
      <c r="L29" s="136"/>
      <c r="M29" s="125"/>
      <c r="N29" s="130"/>
      <c r="T29" s="291" t="s">
        <v>434</v>
      </c>
      <c r="U29" s="304"/>
      <c r="V29" s="304"/>
      <c r="W29" s="560"/>
    </row>
    <row r="30" spans="1:25" ht="18" x14ac:dyDescent="0.25">
      <c r="A30" s="315" t="s">
        <v>213</v>
      </c>
      <c r="B30" s="337" t="s">
        <v>218</v>
      </c>
      <c r="C30" s="351">
        <f>IF($C$28=1,C29,
IF($D$68&lt;&gt;0,($C$26-SUM(H$38:H$49))/($D$68/Allgemeines!$B$30),0))</f>
        <v>0</v>
      </c>
      <c r="D30" s="352"/>
      <c r="G30" s="350" t="s">
        <v>325</v>
      </c>
      <c r="H30" s="758"/>
      <c r="I30" s="758"/>
      <c r="J30" s="758"/>
      <c r="K30" s="758"/>
      <c r="L30" s="136"/>
      <c r="M30" s="125"/>
      <c r="N30" s="130"/>
      <c r="T30" s="306" t="s">
        <v>435</v>
      </c>
      <c r="U30" s="27"/>
      <c r="W30" s="499">
        <f>W29-W31</f>
        <v>0</v>
      </c>
    </row>
    <row r="31" spans="1:25" ht="16.5" x14ac:dyDescent="0.3">
      <c r="A31" s="315" t="s">
        <v>181</v>
      </c>
      <c r="B31" s="337" t="s">
        <v>31</v>
      </c>
      <c r="C31" s="342">
        <f>IF(C26&lt;&gt;0,C20/C26,0)</f>
        <v>0</v>
      </c>
      <c r="D31" s="352"/>
      <c r="G31" s="350" t="s">
        <v>325</v>
      </c>
      <c r="H31" s="758"/>
      <c r="I31" s="758"/>
      <c r="J31" s="758"/>
      <c r="K31" s="758"/>
      <c r="L31" s="136"/>
      <c r="M31" s="125"/>
      <c r="N31" s="130"/>
      <c r="T31" s="315" t="s">
        <v>436</v>
      </c>
      <c r="U31" s="4"/>
      <c r="V31" s="4"/>
      <c r="W31" s="500">
        <f>SUM(NSmL[Spalte222])+SUM(NSoL[Spalte222])</f>
        <v>0</v>
      </c>
    </row>
    <row r="32" spans="1:25" x14ac:dyDescent="0.25">
      <c r="B32" s="176"/>
      <c r="C32" s="321"/>
      <c r="D32" s="352"/>
      <c r="G32" s="353" t="s">
        <v>325</v>
      </c>
      <c r="H32" s="759"/>
      <c r="I32" s="759"/>
      <c r="J32" s="759"/>
      <c r="K32" s="759"/>
      <c r="L32" s="137"/>
      <c r="M32" s="131"/>
      <c r="N32" s="132"/>
    </row>
    <row r="33" spans="1:31" x14ac:dyDescent="0.25">
      <c r="B33" s="176"/>
      <c r="C33" s="321"/>
      <c r="D33" s="352"/>
      <c r="U33" s="27"/>
    </row>
    <row r="34" spans="1:31" ht="15.75" thickBot="1" x14ac:dyDescent="0.3">
      <c r="A34" s="354" t="s">
        <v>416</v>
      </c>
      <c r="B34" s="355"/>
      <c r="C34" s="355"/>
      <c r="D34" s="355"/>
      <c r="E34" s="355"/>
      <c r="F34" s="355"/>
      <c r="G34" s="356"/>
      <c r="H34" s="356"/>
      <c r="I34" s="356"/>
      <c r="J34" s="356"/>
      <c r="K34" s="356"/>
      <c r="L34" s="356"/>
      <c r="M34" s="357"/>
      <c r="N34" s="355"/>
      <c r="O34" s="355"/>
      <c r="P34" s="355"/>
      <c r="Q34" s="355"/>
      <c r="R34" s="355"/>
      <c r="S34" s="355"/>
      <c r="T34" s="355"/>
      <c r="U34" s="355"/>
      <c r="V34" s="355"/>
      <c r="W34" s="355"/>
      <c r="X34" s="355"/>
      <c r="Y34" s="356"/>
      <c r="Z34" s="356"/>
      <c r="AA34" s="355"/>
      <c r="AB34" s="355"/>
      <c r="AC34" s="355"/>
      <c r="AD34" s="355"/>
      <c r="AE34" s="355"/>
    </row>
    <row r="35" spans="1:31" s="69" customFormat="1" ht="90.75" x14ac:dyDescent="0.3">
      <c r="A35" s="358" t="s">
        <v>331</v>
      </c>
      <c r="B35" s="359" t="s">
        <v>369</v>
      </c>
      <c r="C35" s="359" t="s">
        <v>321</v>
      </c>
      <c r="D35" s="359" t="s">
        <v>8</v>
      </c>
      <c r="E35" s="360" t="s">
        <v>29</v>
      </c>
      <c r="F35" s="361" t="s">
        <v>2</v>
      </c>
      <c r="G35" s="359" t="s">
        <v>384</v>
      </c>
      <c r="H35" s="362" t="s">
        <v>385</v>
      </c>
      <c r="I35" s="363" t="s">
        <v>386</v>
      </c>
      <c r="J35" s="364" t="s">
        <v>363</v>
      </c>
      <c r="K35" s="364" t="s">
        <v>364</v>
      </c>
      <c r="L35" s="364" t="s">
        <v>376</v>
      </c>
      <c r="M35" s="364" t="s">
        <v>330</v>
      </c>
      <c r="N35" s="365" t="s">
        <v>254</v>
      </c>
      <c r="O35" s="366" t="s">
        <v>255</v>
      </c>
      <c r="P35" s="367" t="s">
        <v>318</v>
      </c>
      <c r="Q35" s="368" t="s">
        <v>256</v>
      </c>
      <c r="R35" s="359" t="s">
        <v>502</v>
      </c>
      <c r="S35" s="359" t="s">
        <v>501</v>
      </c>
      <c r="T35" s="369" t="s">
        <v>397</v>
      </c>
      <c r="U35" s="117" t="s">
        <v>368</v>
      </c>
      <c r="V35" s="368" t="s">
        <v>257</v>
      </c>
      <c r="W35" s="554" t="s">
        <v>439</v>
      </c>
      <c r="X35" s="656" t="s">
        <v>258</v>
      </c>
      <c r="Y35" s="657" t="s">
        <v>259</v>
      </c>
      <c r="Z35" s="365" t="str">
        <f>CONCATENATE("vermNE
Arbeit
ohne Rückspeisung
Preisblatt
für ",Allgemeines!B29)</f>
        <v>vermNE
Arbeit
ohne Rückspeisung
Preisblatt
für 2027</v>
      </c>
      <c r="AA35" s="365" t="str">
        <f>CONCATENATE("vermNE 
Leistung
ohne Rückspeisung
Preisblatt 
für ",Allgemeines!B29)</f>
        <v>vermNE 
Leistung
ohne Rückspeisung
Preisblatt 
für 2027</v>
      </c>
      <c r="AB35" s="370" t="str">
        <f>CONCATENATE("vermNE 
ohne Rückspeisung
Preisblatt 
für ",Allgemeines!B29)</f>
        <v>vermNE 
ohne Rückspeisung
Preisblatt 
für 2027</v>
      </c>
      <c r="AC35" s="365" t="s">
        <v>370</v>
      </c>
      <c r="AD35" s="368" t="s">
        <v>371</v>
      </c>
      <c r="AE35" s="366" t="s">
        <v>326</v>
      </c>
    </row>
    <row r="36" spans="1:31" s="69" customFormat="1" ht="15.75" thickBot="1" x14ac:dyDescent="0.3">
      <c r="A36" s="371"/>
      <c r="B36" s="372"/>
      <c r="C36" s="372"/>
      <c r="D36" s="372" t="s">
        <v>7</v>
      </c>
      <c r="E36" s="373" t="s">
        <v>7</v>
      </c>
      <c r="F36" s="374"/>
      <c r="G36" s="375" t="s">
        <v>9</v>
      </c>
      <c r="H36" s="375" t="s">
        <v>9</v>
      </c>
      <c r="I36" s="376" t="s">
        <v>9</v>
      </c>
      <c r="J36" s="377"/>
      <c r="K36" s="378"/>
      <c r="L36" s="378"/>
      <c r="M36" s="378"/>
      <c r="N36" s="379" t="s">
        <v>10</v>
      </c>
      <c r="O36" s="380" t="s">
        <v>10</v>
      </c>
      <c r="P36" s="381" t="s">
        <v>7</v>
      </c>
      <c r="Q36" s="382" t="s">
        <v>10</v>
      </c>
      <c r="R36" s="375" t="s">
        <v>9</v>
      </c>
      <c r="S36" s="375" t="s">
        <v>9</v>
      </c>
      <c r="T36" s="383" t="s">
        <v>9</v>
      </c>
      <c r="U36" s="372" t="str">
        <f>CHOOSE(RIGHT(U$35,1),P36,R36,T36)</f>
        <v>[kW]</v>
      </c>
      <c r="V36" s="382" t="s">
        <v>10</v>
      </c>
      <c r="W36" s="555" t="s">
        <v>10</v>
      </c>
      <c r="X36" s="658" t="s">
        <v>10</v>
      </c>
      <c r="Y36" s="659" t="s">
        <v>10</v>
      </c>
      <c r="Z36" s="379" t="s">
        <v>10</v>
      </c>
      <c r="AA36" s="379" t="s">
        <v>10</v>
      </c>
      <c r="AB36" s="384" t="s">
        <v>10</v>
      </c>
      <c r="AC36" s="379" t="s">
        <v>10</v>
      </c>
      <c r="AD36" s="382" t="s">
        <v>10</v>
      </c>
      <c r="AE36" s="380" t="s">
        <v>10</v>
      </c>
    </row>
    <row r="37" spans="1:31" s="69" customFormat="1" ht="15" hidden="1" customHeight="1" thickBot="1" x14ac:dyDescent="0.3">
      <c r="A37" s="385" t="s">
        <v>261</v>
      </c>
      <c r="B37" s="386" t="s">
        <v>262</v>
      </c>
      <c r="C37" s="386" t="s">
        <v>263</v>
      </c>
      <c r="D37" s="386" t="s">
        <v>264</v>
      </c>
      <c r="E37" s="387" t="s">
        <v>265</v>
      </c>
      <c r="F37" s="388" t="s">
        <v>266</v>
      </c>
      <c r="G37" s="386" t="s">
        <v>409</v>
      </c>
      <c r="H37" s="389" t="s">
        <v>410</v>
      </c>
      <c r="I37" s="390" t="s">
        <v>267</v>
      </c>
      <c r="J37" s="391" t="s">
        <v>268</v>
      </c>
      <c r="K37" s="391" t="s">
        <v>269</v>
      </c>
      <c r="L37" s="391" t="s">
        <v>270</v>
      </c>
      <c r="M37" s="391" t="s">
        <v>271</v>
      </c>
      <c r="N37" s="392" t="s">
        <v>272</v>
      </c>
      <c r="O37" s="393" t="s">
        <v>273</v>
      </c>
      <c r="P37" s="394" t="s">
        <v>274</v>
      </c>
      <c r="Q37" s="395" t="s">
        <v>275</v>
      </c>
      <c r="R37" s="386" t="s">
        <v>276</v>
      </c>
      <c r="S37" s="386" t="s">
        <v>277</v>
      </c>
      <c r="T37" s="396" t="s">
        <v>278</v>
      </c>
      <c r="U37" s="154" t="s">
        <v>319</v>
      </c>
      <c r="V37" s="395" t="s">
        <v>320</v>
      </c>
      <c r="W37" s="392" t="s">
        <v>438</v>
      </c>
      <c r="X37" s="660" t="s">
        <v>327</v>
      </c>
      <c r="Y37" s="661" t="s">
        <v>339</v>
      </c>
      <c r="Z37" s="392" t="s">
        <v>340</v>
      </c>
      <c r="AA37" s="392" t="s">
        <v>341</v>
      </c>
      <c r="AB37" s="397" t="s">
        <v>342</v>
      </c>
      <c r="AC37" s="392" t="s">
        <v>343</v>
      </c>
      <c r="AD37" s="395" t="s">
        <v>344</v>
      </c>
      <c r="AE37" s="393" t="s">
        <v>345</v>
      </c>
    </row>
    <row r="38" spans="1:31" x14ac:dyDescent="0.25">
      <c r="A38" s="152"/>
      <c r="B38" s="1"/>
      <c r="C38" s="1"/>
      <c r="D38" s="2"/>
      <c r="E38" s="398">
        <f t="shared" ref="E38:E48" si="0">D38*$C$14</f>
        <v>0</v>
      </c>
      <c r="F38" s="5"/>
      <c r="G38" s="111"/>
      <c r="H38" s="321">
        <f>IF(F38="j",D38/Allgemeines!$B$30*$C$29,G38)</f>
        <v>0</v>
      </c>
      <c r="I38" s="411">
        <f t="shared" ref="I38:I48" si="1">H38*$C$31</f>
        <v>0</v>
      </c>
      <c r="J38" s="139">
        <f>IF(AND(F38&lt;&gt;"",B38="Rückspeisung eN",Allgemeines!$B$29&lt;=2028),$J$21,0)
+IF(AND(F38&lt;&gt;"",OR(B38="EEG-nvol",B38="KWKG",B38="Sonstige-nvol"),AND(OR(C38="&lt;= 2022",C38&lt;=2022),Allgemeines!$B$29&lt;=2025)),1,0)
+IF(AND(F38&lt;&gt;"",OR(B38="EEG-nvol",B38="KWKG",B38="Sonstige-nvol"),AND(OR(C38="&lt;= 2022",C38&lt;=2022),Allgemeines!$B$29&gt;=2026)),1-(Allgemeines!$B$29-2025)/4,0)
+IF(AND(F38&lt;&gt;"",OR(B38="EEG-vol",B38="Sonstige-vol"),OR(C38="&lt;= 2017",C38&lt;=2017),C38&gt;1900),MIN(1,MAX(0,1-(Allgemeines!$B$29-2017)/3)),0)</f>
        <v>0</v>
      </c>
      <c r="K38" s="139">
        <f t="shared" ref="K38:K49" si="2">IF(B38="Rückspeisung eN",$K$21,J38)</f>
        <v>0</v>
      </c>
      <c r="L38" s="138"/>
      <c r="M38" s="413" t="str">
        <f t="shared" ref="M38:M49" si="3">IF(MAX($AE38,$AB38)&gt;0,
IF($AE38&lt;$AB38,"R","A"),"")</f>
        <v/>
      </c>
      <c r="N38" s="402">
        <f t="shared" ref="N38:N49" si="4">IF($AE38&lt;$AB38,AC38,Z38)</f>
        <v>0</v>
      </c>
      <c r="O38" s="403">
        <f t="shared" ref="O38:O49" si="5">IF($AE38&lt;$AB38,AD38,AA38)</f>
        <v>0</v>
      </c>
      <c r="P38" s="404">
        <f t="shared" ref="P38:P48" si="6">D38*J38</f>
        <v>0</v>
      </c>
      <c r="Q38" s="405">
        <f t="shared" ref="Q38:Q49" si="7">IF($P$69&gt;0,$V$15*P38/$P$69,0)</f>
        <v>0</v>
      </c>
      <c r="R38" s="111"/>
      <c r="S38" s="321">
        <f>IF($F38="j",$D38/Allgemeines!$B$30*W$25,R38)*$K38</f>
        <v>0</v>
      </c>
      <c r="T38" s="406">
        <f t="shared" ref="T38:T49" si="8">H38*K38</f>
        <v>0</v>
      </c>
      <c r="U38" s="399">
        <f t="shared" ref="U38:U49" si="9">CHOOSE(RIGHT(U$35,1),P38,S38,T38)</f>
        <v>0</v>
      </c>
      <c r="V38" s="405">
        <f t="shared" ref="V38:V49" si="10">IF($U$69&gt;0,$W$15*U38/$U$69,0)</f>
        <v>0</v>
      </c>
      <c r="W38" s="558"/>
      <c r="X38" s="662">
        <f t="shared" ref="X38:X49" si="11">N38+Q38</f>
        <v>0</v>
      </c>
      <c r="Y38" s="663">
        <f t="shared" ref="Y38:Y49" si="12">O38+V38</f>
        <v>0</v>
      </c>
      <c r="Z38" s="402">
        <f t="shared" ref="Z38:Z49" si="13">IF(L38&lt;&gt;0,E38*M$27/100*$J38,0)</f>
        <v>0</v>
      </c>
      <c r="AA38" s="408">
        <f t="shared" ref="AA38:AA49" si="14">IF(AND(F38&lt;&gt;"",L38&lt;&gt;0),I38*N$27*$K38,0)</f>
        <v>0</v>
      </c>
      <c r="AB38" s="409">
        <f t="shared" ref="AB38:AB48" si="15">Z38+AA38</f>
        <v>0</v>
      </c>
      <c r="AC38" s="402">
        <f t="shared" ref="AC38:AC49" si="16">IF(L38&lt;&gt;"",E38*IFERROR(VLOOKUP(L38,$L$28:$N$32,2,FALSE),0)/100*$J38,0)</f>
        <v>0</v>
      </c>
      <c r="AD38" s="408">
        <f t="shared" ref="AD38:AD49" si="17">IF(AND(F38&lt;&gt;"",L38&lt;&gt;""),I38*IFERROR(VLOOKUP(L38,$L$28:$N$32,3,FALSE),0)*$K38,0)</f>
        <v>0</v>
      </c>
      <c r="AE38" s="409">
        <f t="shared" ref="AE38:AE48" si="18">AC38+AD38</f>
        <v>0</v>
      </c>
    </row>
    <row r="39" spans="1:31" x14ac:dyDescent="0.25">
      <c r="A39" s="151"/>
      <c r="B39" s="1"/>
      <c r="C39" s="1"/>
      <c r="D39" s="2"/>
      <c r="E39" s="398">
        <f t="shared" si="0"/>
        <v>0</v>
      </c>
      <c r="F39" s="5"/>
      <c r="G39" s="111"/>
      <c r="H39" s="321">
        <f>IF(F39="j",D39/Allgemeines!$B$30*$C$29,G39)</f>
        <v>0</v>
      </c>
      <c r="I39" s="411">
        <f t="shared" si="1"/>
        <v>0</v>
      </c>
      <c r="J39" s="139">
        <f>IF(AND(F39&lt;&gt;"",B39="Rückspeisung eN",Allgemeines!$B$29&lt;=2028),$J$21,0)
+IF(AND(F39&lt;&gt;"",OR(B39="EEG-nvol",B39="KWKG",B39="Sonstige-nvol"),AND(OR(C39="&lt;= 2022",C39&lt;=2022),Allgemeines!$B$29&lt;=2025)),1,0)
+IF(AND(F39&lt;&gt;"",OR(B39="EEG-nvol",B39="KWKG",B39="Sonstige-nvol"),AND(OR(C39="&lt;= 2022",C39&lt;=2022),Allgemeines!$B$29&gt;=2026)),1-(Allgemeines!$B$29-2025)/4,0)
+IF(AND(F39&lt;&gt;"",OR(B39="EEG-vol",B39="Sonstige-vol"),OR(C39="&lt;= 2017",C39&lt;=2017),C39&gt;1900),MIN(1,MAX(0,1-(Allgemeines!$B$29-2017)/3)),0)</f>
        <v>0</v>
      </c>
      <c r="K39" s="139">
        <f t="shared" si="2"/>
        <v>0</v>
      </c>
      <c r="L39" s="138"/>
      <c r="M39" s="413" t="str">
        <f t="shared" si="3"/>
        <v/>
      </c>
      <c r="N39" s="402">
        <f t="shared" si="4"/>
        <v>0</v>
      </c>
      <c r="O39" s="403">
        <f t="shared" si="5"/>
        <v>0</v>
      </c>
      <c r="P39" s="404">
        <f t="shared" si="6"/>
        <v>0</v>
      </c>
      <c r="Q39" s="405">
        <f t="shared" si="7"/>
        <v>0</v>
      </c>
      <c r="R39" s="111"/>
      <c r="S39" s="321">
        <f>IF($F39="j",$D39/Allgemeines!$B$30*W$25,R39)*$K39</f>
        <v>0</v>
      </c>
      <c r="T39" s="406">
        <f t="shared" si="8"/>
        <v>0</v>
      </c>
      <c r="U39" s="399">
        <f t="shared" si="9"/>
        <v>0</v>
      </c>
      <c r="V39" s="405">
        <f t="shared" si="10"/>
        <v>0</v>
      </c>
      <c r="W39" s="558"/>
      <c r="X39" s="662">
        <f t="shared" si="11"/>
        <v>0</v>
      </c>
      <c r="Y39" s="663">
        <f t="shared" si="12"/>
        <v>0</v>
      </c>
      <c r="Z39" s="402">
        <f t="shared" si="13"/>
        <v>0</v>
      </c>
      <c r="AA39" s="408">
        <f t="shared" si="14"/>
        <v>0</v>
      </c>
      <c r="AB39" s="409">
        <f t="shared" si="15"/>
        <v>0</v>
      </c>
      <c r="AC39" s="402">
        <f t="shared" si="16"/>
        <v>0</v>
      </c>
      <c r="AD39" s="408">
        <f t="shared" si="17"/>
        <v>0</v>
      </c>
      <c r="AE39" s="409">
        <f t="shared" si="18"/>
        <v>0</v>
      </c>
    </row>
    <row r="40" spans="1:31" x14ac:dyDescent="0.25">
      <c r="A40" s="151"/>
      <c r="B40" s="1"/>
      <c r="C40" s="1"/>
      <c r="D40" s="2"/>
      <c r="E40" s="398">
        <f t="shared" si="0"/>
        <v>0</v>
      </c>
      <c r="F40" s="5"/>
      <c r="G40" s="111"/>
      <c r="H40" s="321">
        <f>IF(F40="j",D40/Allgemeines!$B$30*$C$29,G40)</f>
        <v>0</v>
      </c>
      <c r="I40" s="411">
        <f t="shared" si="1"/>
        <v>0</v>
      </c>
      <c r="J40" s="139">
        <f>IF(AND(F40&lt;&gt;"",B40="Rückspeisung eN",Allgemeines!$B$29&lt;=2028),$J$21,0)
+IF(AND(F40&lt;&gt;"",OR(B40="EEG-nvol",B40="KWKG",B40="Sonstige-nvol"),AND(OR(C40="&lt;= 2022",C40&lt;=2022),Allgemeines!$B$29&lt;=2025)),1,0)
+IF(AND(F40&lt;&gt;"",OR(B40="EEG-nvol",B40="KWKG",B40="Sonstige-nvol"),AND(OR(C40="&lt;= 2022",C40&lt;=2022),Allgemeines!$B$29&gt;=2026)),1-(Allgemeines!$B$29-2025)/4,0)
+IF(AND(F40&lt;&gt;"",OR(B40="EEG-vol",B40="Sonstige-vol"),OR(C40="&lt;= 2017",C40&lt;=2017),C40&gt;1900),MIN(1,MAX(0,1-(Allgemeines!$B$29-2017)/3)),0)</f>
        <v>0</v>
      </c>
      <c r="K40" s="139">
        <f t="shared" si="2"/>
        <v>0</v>
      </c>
      <c r="L40" s="138"/>
      <c r="M40" s="413" t="str">
        <f t="shared" si="3"/>
        <v/>
      </c>
      <c r="N40" s="402">
        <f t="shared" si="4"/>
        <v>0</v>
      </c>
      <c r="O40" s="403">
        <f t="shared" si="5"/>
        <v>0</v>
      </c>
      <c r="P40" s="404">
        <f t="shared" si="6"/>
        <v>0</v>
      </c>
      <c r="Q40" s="405">
        <f t="shared" si="7"/>
        <v>0</v>
      </c>
      <c r="R40" s="111"/>
      <c r="S40" s="321">
        <f>IF($F40="j",$D40/Allgemeines!$B$30*W$25,R40)*$K40</f>
        <v>0</v>
      </c>
      <c r="T40" s="406">
        <f t="shared" si="8"/>
        <v>0</v>
      </c>
      <c r="U40" s="399">
        <f t="shared" si="9"/>
        <v>0</v>
      </c>
      <c r="V40" s="405">
        <f t="shared" si="10"/>
        <v>0</v>
      </c>
      <c r="W40" s="558"/>
      <c r="X40" s="662">
        <f t="shared" si="11"/>
        <v>0</v>
      </c>
      <c r="Y40" s="663">
        <f t="shared" si="12"/>
        <v>0</v>
      </c>
      <c r="Z40" s="402">
        <f t="shared" si="13"/>
        <v>0</v>
      </c>
      <c r="AA40" s="408">
        <f t="shared" si="14"/>
        <v>0</v>
      </c>
      <c r="AB40" s="409">
        <f t="shared" si="15"/>
        <v>0</v>
      </c>
      <c r="AC40" s="402">
        <f t="shared" si="16"/>
        <v>0</v>
      </c>
      <c r="AD40" s="408">
        <f t="shared" si="17"/>
        <v>0</v>
      </c>
      <c r="AE40" s="409">
        <f t="shared" si="18"/>
        <v>0</v>
      </c>
    </row>
    <row r="41" spans="1:31" x14ac:dyDescent="0.25">
      <c r="A41" s="151"/>
      <c r="B41" s="1"/>
      <c r="C41" s="1"/>
      <c r="D41" s="2"/>
      <c r="E41" s="398">
        <f t="shared" si="0"/>
        <v>0</v>
      </c>
      <c r="F41" s="5"/>
      <c r="G41" s="111"/>
      <c r="H41" s="321">
        <f>IF(F41="j",D41/Allgemeines!$B$30*$C$29,G41)</f>
        <v>0</v>
      </c>
      <c r="I41" s="411">
        <f t="shared" si="1"/>
        <v>0</v>
      </c>
      <c r="J41" s="139">
        <f>IF(AND(F41&lt;&gt;"",B41="Rückspeisung eN",Allgemeines!$B$29&lt;=2028),$J$21,0)
+IF(AND(F41&lt;&gt;"",OR(B41="EEG-nvol",B41="KWKG",B41="Sonstige-nvol"),AND(OR(C41="&lt;= 2022",C41&lt;=2022),Allgemeines!$B$29&lt;=2025)),1,0)
+IF(AND(F41&lt;&gt;"",OR(B41="EEG-nvol",B41="KWKG",B41="Sonstige-nvol"),AND(OR(C41="&lt;= 2022",C41&lt;=2022),Allgemeines!$B$29&gt;=2026)),1-(Allgemeines!$B$29-2025)/4,0)
+IF(AND(F41&lt;&gt;"",OR(B41="EEG-vol",B41="Sonstige-vol"),OR(C41="&lt;= 2017",C41&lt;=2017),C41&gt;1900),MIN(1,MAX(0,1-(Allgemeines!$B$29-2017)/3)),0)</f>
        <v>0</v>
      </c>
      <c r="K41" s="139">
        <f t="shared" si="2"/>
        <v>0</v>
      </c>
      <c r="L41" s="138"/>
      <c r="M41" s="413" t="str">
        <f t="shared" si="3"/>
        <v/>
      </c>
      <c r="N41" s="402">
        <f t="shared" si="4"/>
        <v>0</v>
      </c>
      <c r="O41" s="403">
        <f t="shared" si="5"/>
        <v>0</v>
      </c>
      <c r="P41" s="404">
        <f t="shared" si="6"/>
        <v>0</v>
      </c>
      <c r="Q41" s="405">
        <f t="shared" si="7"/>
        <v>0</v>
      </c>
      <c r="R41" s="111"/>
      <c r="S41" s="321">
        <f>IF($F41="j",$D41/Allgemeines!$B$30*W$25,R41)*$K41</f>
        <v>0</v>
      </c>
      <c r="T41" s="406">
        <f t="shared" si="8"/>
        <v>0</v>
      </c>
      <c r="U41" s="399">
        <f t="shared" si="9"/>
        <v>0</v>
      </c>
      <c r="V41" s="405">
        <f t="shared" si="10"/>
        <v>0</v>
      </c>
      <c r="W41" s="558"/>
      <c r="X41" s="662">
        <f t="shared" si="11"/>
        <v>0</v>
      </c>
      <c r="Y41" s="663">
        <f t="shared" si="12"/>
        <v>0</v>
      </c>
      <c r="Z41" s="402">
        <f t="shared" si="13"/>
        <v>0</v>
      </c>
      <c r="AA41" s="408">
        <f t="shared" si="14"/>
        <v>0</v>
      </c>
      <c r="AB41" s="409">
        <f t="shared" si="15"/>
        <v>0</v>
      </c>
      <c r="AC41" s="402">
        <f t="shared" si="16"/>
        <v>0</v>
      </c>
      <c r="AD41" s="408">
        <f t="shared" si="17"/>
        <v>0</v>
      </c>
      <c r="AE41" s="409">
        <f t="shared" si="18"/>
        <v>0</v>
      </c>
    </row>
    <row r="42" spans="1:31" x14ac:dyDescent="0.25">
      <c r="A42" s="151"/>
      <c r="B42" s="1"/>
      <c r="C42" s="1"/>
      <c r="D42" s="2"/>
      <c r="E42" s="398">
        <f t="shared" si="0"/>
        <v>0</v>
      </c>
      <c r="F42" s="5"/>
      <c r="G42" s="111"/>
      <c r="H42" s="321">
        <f>IF(F42="j",D42/Allgemeines!$B$30*$C$29,G42)</f>
        <v>0</v>
      </c>
      <c r="I42" s="411">
        <f t="shared" si="1"/>
        <v>0</v>
      </c>
      <c r="J42" s="139">
        <f>IF(AND(F42&lt;&gt;"",B42="Rückspeisung eN",Allgemeines!$B$29&lt;=2028),$J$21,0)
+IF(AND(F42&lt;&gt;"",OR(B42="EEG-nvol",B42="KWKG",B42="Sonstige-nvol"),AND(OR(C42="&lt;= 2022",C42&lt;=2022),Allgemeines!$B$29&lt;=2025)),1,0)
+IF(AND(F42&lt;&gt;"",OR(B42="EEG-nvol",B42="KWKG",B42="Sonstige-nvol"),AND(OR(C42="&lt;= 2022",C42&lt;=2022),Allgemeines!$B$29&gt;=2026)),1-(Allgemeines!$B$29-2025)/4,0)
+IF(AND(F42&lt;&gt;"",OR(B42="EEG-vol",B42="Sonstige-vol"),OR(C42="&lt;= 2017",C42&lt;=2017),C42&gt;1900),MIN(1,MAX(0,1-(Allgemeines!$B$29-2017)/3)),0)</f>
        <v>0</v>
      </c>
      <c r="K42" s="139">
        <f t="shared" si="2"/>
        <v>0</v>
      </c>
      <c r="L42" s="138"/>
      <c r="M42" s="413" t="str">
        <f t="shared" si="3"/>
        <v/>
      </c>
      <c r="N42" s="402">
        <f t="shared" si="4"/>
        <v>0</v>
      </c>
      <c r="O42" s="403">
        <f t="shared" si="5"/>
        <v>0</v>
      </c>
      <c r="P42" s="404">
        <f t="shared" si="6"/>
        <v>0</v>
      </c>
      <c r="Q42" s="405">
        <f t="shared" si="7"/>
        <v>0</v>
      </c>
      <c r="R42" s="111"/>
      <c r="S42" s="321">
        <f>IF($F42="j",$D42/Allgemeines!$B$30*W$25,R42)*$K42</f>
        <v>0</v>
      </c>
      <c r="T42" s="406">
        <f t="shared" si="8"/>
        <v>0</v>
      </c>
      <c r="U42" s="399">
        <f t="shared" si="9"/>
        <v>0</v>
      </c>
      <c r="V42" s="405">
        <f t="shared" si="10"/>
        <v>0</v>
      </c>
      <c r="W42" s="558"/>
      <c r="X42" s="662">
        <f t="shared" si="11"/>
        <v>0</v>
      </c>
      <c r="Y42" s="663">
        <f t="shared" si="12"/>
        <v>0</v>
      </c>
      <c r="Z42" s="402">
        <f t="shared" si="13"/>
        <v>0</v>
      </c>
      <c r="AA42" s="408">
        <f t="shared" si="14"/>
        <v>0</v>
      </c>
      <c r="AB42" s="409">
        <f t="shared" si="15"/>
        <v>0</v>
      </c>
      <c r="AC42" s="402">
        <f t="shared" si="16"/>
        <v>0</v>
      </c>
      <c r="AD42" s="408">
        <f t="shared" si="17"/>
        <v>0</v>
      </c>
      <c r="AE42" s="409">
        <f t="shared" si="18"/>
        <v>0</v>
      </c>
    </row>
    <row r="43" spans="1:31" x14ac:dyDescent="0.25">
      <c r="A43" s="151"/>
      <c r="B43" s="1"/>
      <c r="C43" s="1"/>
      <c r="D43" s="2"/>
      <c r="E43" s="398">
        <f>D43*$C$14</f>
        <v>0</v>
      </c>
      <c r="F43" s="5"/>
      <c r="G43" s="111"/>
      <c r="H43" s="321">
        <f>IF(F43="j",D43/Allgemeines!$B$30*$C$29,G43)</f>
        <v>0</v>
      </c>
      <c r="I43" s="411">
        <f>H43*$C$31</f>
        <v>0</v>
      </c>
      <c r="J43" s="139">
        <f>IF(AND(F43&lt;&gt;"",B43="Rückspeisung eN",Allgemeines!$B$29&lt;=2028),$J$21,0)
+IF(AND(F43&lt;&gt;"",OR(B43="EEG-nvol",B43="KWKG",B43="Sonstige-nvol"),AND(OR(C43="&lt;= 2022",C43&lt;=2022),Allgemeines!$B$29&lt;=2025)),1,0)
+IF(AND(F43&lt;&gt;"",OR(B43="EEG-nvol",B43="KWKG",B43="Sonstige-nvol"),AND(OR(C43="&lt;= 2022",C43&lt;=2022),Allgemeines!$B$29&gt;=2026)),1-(Allgemeines!$B$29-2025)/4,0)
+IF(AND(F43&lt;&gt;"",OR(B43="EEG-vol",B43="Sonstige-vol"),OR(C43="&lt;= 2017",C43&lt;=2017),C43&gt;1900),MIN(1,MAX(0,1-(Allgemeines!$B$29-2017)/3)),0)</f>
        <v>0</v>
      </c>
      <c r="K43" s="139">
        <f>IF(B43="Rückspeisung eN",$K$21,J43)</f>
        <v>0</v>
      </c>
      <c r="L43" s="138"/>
      <c r="M43" s="413" t="str">
        <f>IF(MAX($AE43,$AB43)&gt;0,
IF($AE43&lt;$AB43,"R","A"),"")</f>
        <v/>
      </c>
      <c r="N43" s="402">
        <f>IF($AE43&lt;$AB43,AC43,Z43)</f>
        <v>0</v>
      </c>
      <c r="O43" s="403">
        <f>IF($AE43&lt;$AB43,AD43,AA43)</f>
        <v>0</v>
      </c>
      <c r="P43" s="404">
        <f>D43*J43</f>
        <v>0</v>
      </c>
      <c r="Q43" s="405">
        <f t="shared" si="7"/>
        <v>0</v>
      </c>
      <c r="R43" s="111"/>
      <c r="S43" s="321">
        <f>IF($F43="j",$D43/Allgemeines!$B$30*W$25,R43)*$K43</f>
        <v>0</v>
      </c>
      <c r="T43" s="406">
        <f t="shared" si="8"/>
        <v>0</v>
      </c>
      <c r="U43" s="399">
        <f t="shared" si="9"/>
        <v>0</v>
      </c>
      <c r="V43" s="405">
        <f t="shared" si="10"/>
        <v>0</v>
      </c>
      <c r="W43" s="558"/>
      <c r="X43" s="662">
        <f>N43+Q43</f>
        <v>0</v>
      </c>
      <c r="Y43" s="663">
        <f>O43+V43</f>
        <v>0</v>
      </c>
      <c r="Z43" s="402">
        <f>IF(L43&lt;&gt;0,E43*M$27/100*$J43,0)</f>
        <v>0</v>
      </c>
      <c r="AA43" s="408">
        <f>IF(AND(F43&lt;&gt;"",L43&lt;&gt;0),I43*N$27*$K43,0)</f>
        <v>0</v>
      </c>
      <c r="AB43" s="409">
        <f>Z43+AA43</f>
        <v>0</v>
      </c>
      <c r="AC43" s="402">
        <f>IF(L43&lt;&gt;"",E43*IFERROR(VLOOKUP(L43,$L$28:$N$32,2,FALSE),0)/100*$J43,0)</f>
        <v>0</v>
      </c>
      <c r="AD43" s="408">
        <f>IF(AND(F43&lt;&gt;"",L43&lt;&gt;""),I43*IFERROR(VLOOKUP(L43,$L$28:$N$32,3,FALSE),0)*$K43,0)</f>
        <v>0</v>
      </c>
      <c r="AE43" s="409">
        <f>AC43+AD43</f>
        <v>0</v>
      </c>
    </row>
    <row r="44" spans="1:31" x14ac:dyDescent="0.25">
      <c r="A44" s="151"/>
      <c r="B44" s="1"/>
      <c r="C44" s="1"/>
      <c r="D44" s="2"/>
      <c r="E44" s="398">
        <f t="shared" si="0"/>
        <v>0</v>
      </c>
      <c r="F44" s="5"/>
      <c r="G44" s="111"/>
      <c r="H44" s="321">
        <f>IF(F44="j",D44/Allgemeines!$B$30*$C$29,G44)</f>
        <v>0</v>
      </c>
      <c r="I44" s="411">
        <f t="shared" si="1"/>
        <v>0</v>
      </c>
      <c r="J44" s="139">
        <f>IF(AND(F44&lt;&gt;"",B44="Rückspeisung eN",Allgemeines!$B$29&lt;=2028),$J$21,0)
+IF(AND(F44&lt;&gt;"",OR(B44="EEG-nvol",B44="KWKG",B44="Sonstige-nvol"),AND(OR(C44="&lt;= 2022",C44&lt;=2022),Allgemeines!$B$29&lt;=2025)),1,0)
+IF(AND(F44&lt;&gt;"",OR(B44="EEG-nvol",B44="KWKG",B44="Sonstige-nvol"),AND(OR(C44="&lt;= 2022",C44&lt;=2022),Allgemeines!$B$29&gt;=2026)),1-(Allgemeines!$B$29-2025)/4,0)
+IF(AND(F44&lt;&gt;"",OR(B44="EEG-vol",B44="Sonstige-vol"),OR(C44="&lt;= 2017",C44&lt;=2017),C44&gt;1900),MIN(1,MAX(0,1-(Allgemeines!$B$29-2017)/3)),0)</f>
        <v>0</v>
      </c>
      <c r="K44" s="139">
        <f t="shared" si="2"/>
        <v>0</v>
      </c>
      <c r="L44" s="138"/>
      <c r="M44" s="413" t="str">
        <f t="shared" si="3"/>
        <v/>
      </c>
      <c r="N44" s="402">
        <f t="shared" si="4"/>
        <v>0</v>
      </c>
      <c r="O44" s="403">
        <f t="shared" si="5"/>
        <v>0</v>
      </c>
      <c r="P44" s="404">
        <f t="shared" si="6"/>
        <v>0</v>
      </c>
      <c r="Q44" s="405">
        <f t="shared" si="7"/>
        <v>0</v>
      </c>
      <c r="R44" s="111"/>
      <c r="S44" s="321">
        <f>IF($F44="j",$D44/Allgemeines!$B$30*W$25,R44)*$K44</f>
        <v>0</v>
      </c>
      <c r="T44" s="406">
        <f t="shared" si="8"/>
        <v>0</v>
      </c>
      <c r="U44" s="399">
        <f t="shared" si="9"/>
        <v>0</v>
      </c>
      <c r="V44" s="405">
        <f t="shared" si="10"/>
        <v>0</v>
      </c>
      <c r="W44" s="558"/>
      <c r="X44" s="662">
        <f t="shared" si="11"/>
        <v>0</v>
      </c>
      <c r="Y44" s="663">
        <f t="shared" si="12"/>
        <v>0</v>
      </c>
      <c r="Z44" s="402">
        <f t="shared" si="13"/>
        <v>0</v>
      </c>
      <c r="AA44" s="408">
        <f t="shared" si="14"/>
        <v>0</v>
      </c>
      <c r="AB44" s="409">
        <f t="shared" si="15"/>
        <v>0</v>
      </c>
      <c r="AC44" s="402">
        <f t="shared" si="16"/>
        <v>0</v>
      </c>
      <c r="AD44" s="408">
        <f t="shared" si="17"/>
        <v>0</v>
      </c>
      <c r="AE44" s="409">
        <f t="shared" si="18"/>
        <v>0</v>
      </c>
    </row>
    <row r="45" spans="1:31" x14ac:dyDescent="0.25">
      <c r="A45" s="151"/>
      <c r="B45" s="1"/>
      <c r="C45" s="1"/>
      <c r="D45" s="2"/>
      <c r="E45" s="398">
        <f t="shared" si="0"/>
        <v>0</v>
      </c>
      <c r="F45" s="5"/>
      <c r="G45" s="111"/>
      <c r="H45" s="321">
        <f>IF(F45="j",D45/Allgemeines!$B$30*$C$29,G45)</f>
        <v>0</v>
      </c>
      <c r="I45" s="411">
        <f t="shared" si="1"/>
        <v>0</v>
      </c>
      <c r="J45" s="139">
        <f>IF(AND(F45&lt;&gt;"",B45="Rückspeisung eN",Allgemeines!$B$29&lt;=2028),$J$21,0)
+IF(AND(F45&lt;&gt;"",OR(B45="EEG-nvol",B45="KWKG",B45="Sonstige-nvol"),AND(OR(C45="&lt;= 2022",C45&lt;=2022),Allgemeines!$B$29&lt;=2025)),1,0)
+IF(AND(F45&lt;&gt;"",OR(B45="EEG-nvol",B45="KWKG",B45="Sonstige-nvol"),AND(OR(C45="&lt;= 2022",C45&lt;=2022),Allgemeines!$B$29&gt;=2026)),1-(Allgemeines!$B$29-2025)/4,0)
+IF(AND(F45&lt;&gt;"",OR(B45="EEG-vol",B45="Sonstige-vol"),OR(C45="&lt;= 2017",C45&lt;=2017),C45&gt;1900),MIN(1,MAX(0,1-(Allgemeines!$B$29-2017)/3)),0)</f>
        <v>0</v>
      </c>
      <c r="K45" s="139">
        <f t="shared" si="2"/>
        <v>0</v>
      </c>
      <c r="L45" s="138"/>
      <c r="M45" s="413" t="str">
        <f t="shared" si="3"/>
        <v/>
      </c>
      <c r="N45" s="402">
        <f t="shared" si="4"/>
        <v>0</v>
      </c>
      <c r="O45" s="403">
        <f t="shared" si="5"/>
        <v>0</v>
      </c>
      <c r="P45" s="404">
        <f t="shared" si="6"/>
        <v>0</v>
      </c>
      <c r="Q45" s="405">
        <f t="shared" si="7"/>
        <v>0</v>
      </c>
      <c r="R45" s="111"/>
      <c r="S45" s="321">
        <f>IF($F45="j",$D45/Allgemeines!$B$30*W$25,R45)*$K45</f>
        <v>0</v>
      </c>
      <c r="T45" s="406">
        <f t="shared" si="8"/>
        <v>0</v>
      </c>
      <c r="U45" s="399">
        <f t="shared" si="9"/>
        <v>0</v>
      </c>
      <c r="V45" s="405">
        <f t="shared" si="10"/>
        <v>0</v>
      </c>
      <c r="W45" s="558"/>
      <c r="X45" s="662">
        <f t="shared" si="11"/>
        <v>0</v>
      </c>
      <c r="Y45" s="663">
        <f t="shared" si="12"/>
        <v>0</v>
      </c>
      <c r="Z45" s="402">
        <f t="shared" si="13"/>
        <v>0</v>
      </c>
      <c r="AA45" s="408">
        <f t="shared" si="14"/>
        <v>0</v>
      </c>
      <c r="AB45" s="409">
        <f t="shared" si="15"/>
        <v>0</v>
      </c>
      <c r="AC45" s="402">
        <f t="shared" si="16"/>
        <v>0</v>
      </c>
      <c r="AD45" s="408">
        <f t="shared" si="17"/>
        <v>0</v>
      </c>
      <c r="AE45" s="409">
        <f t="shared" si="18"/>
        <v>0</v>
      </c>
    </row>
    <row r="46" spans="1:31" x14ac:dyDescent="0.25">
      <c r="A46" s="151"/>
      <c r="B46" s="1"/>
      <c r="C46" s="1"/>
      <c r="D46" s="2"/>
      <c r="E46" s="398">
        <f t="shared" si="0"/>
        <v>0</v>
      </c>
      <c r="F46" s="5"/>
      <c r="G46" s="111"/>
      <c r="H46" s="321">
        <f>IF(F46="j",D46/Allgemeines!$B$30*$C$29,G46)</f>
        <v>0</v>
      </c>
      <c r="I46" s="411">
        <f t="shared" si="1"/>
        <v>0</v>
      </c>
      <c r="J46" s="139">
        <f>IF(AND(F46&lt;&gt;"",B46="Rückspeisung eN",Allgemeines!$B$29&lt;=2028),$J$21,0)
+IF(AND(F46&lt;&gt;"",OR(B46="EEG-nvol",B46="KWKG",B46="Sonstige-nvol"),AND(OR(C46="&lt;= 2022",C46&lt;=2022),Allgemeines!$B$29&lt;=2025)),1,0)
+IF(AND(F46&lt;&gt;"",OR(B46="EEG-nvol",B46="KWKG",B46="Sonstige-nvol"),AND(OR(C46="&lt;= 2022",C46&lt;=2022),Allgemeines!$B$29&gt;=2026)),1-(Allgemeines!$B$29-2025)/4,0)
+IF(AND(F46&lt;&gt;"",OR(B46="EEG-vol",B46="Sonstige-vol"),OR(C46="&lt;= 2017",C46&lt;=2017),C46&gt;1900),MIN(1,MAX(0,1-(Allgemeines!$B$29-2017)/3)),0)</f>
        <v>0</v>
      </c>
      <c r="K46" s="139">
        <f t="shared" si="2"/>
        <v>0</v>
      </c>
      <c r="L46" s="138"/>
      <c r="M46" s="413" t="str">
        <f t="shared" si="3"/>
        <v/>
      </c>
      <c r="N46" s="402">
        <f t="shared" si="4"/>
        <v>0</v>
      </c>
      <c r="O46" s="403">
        <f t="shared" si="5"/>
        <v>0</v>
      </c>
      <c r="P46" s="404">
        <f t="shared" si="6"/>
        <v>0</v>
      </c>
      <c r="Q46" s="405">
        <f t="shared" si="7"/>
        <v>0</v>
      </c>
      <c r="R46" s="111"/>
      <c r="S46" s="321">
        <f>IF($F46="j",$D46/Allgemeines!$B$30*W$25,R46)*$K46</f>
        <v>0</v>
      </c>
      <c r="T46" s="406">
        <f t="shared" si="8"/>
        <v>0</v>
      </c>
      <c r="U46" s="399">
        <f t="shared" si="9"/>
        <v>0</v>
      </c>
      <c r="V46" s="405">
        <f t="shared" si="10"/>
        <v>0</v>
      </c>
      <c r="W46" s="558"/>
      <c r="X46" s="662">
        <f t="shared" si="11"/>
        <v>0</v>
      </c>
      <c r="Y46" s="663">
        <f t="shared" si="12"/>
        <v>0</v>
      </c>
      <c r="Z46" s="402">
        <f t="shared" si="13"/>
        <v>0</v>
      </c>
      <c r="AA46" s="408">
        <f t="shared" si="14"/>
        <v>0</v>
      </c>
      <c r="AB46" s="409">
        <f t="shared" si="15"/>
        <v>0</v>
      </c>
      <c r="AC46" s="402">
        <f t="shared" si="16"/>
        <v>0</v>
      </c>
      <c r="AD46" s="408">
        <f t="shared" si="17"/>
        <v>0</v>
      </c>
      <c r="AE46" s="409">
        <f t="shared" si="18"/>
        <v>0</v>
      </c>
    </row>
    <row r="47" spans="1:31" x14ac:dyDescent="0.25">
      <c r="A47" s="151"/>
      <c r="B47" s="1"/>
      <c r="C47" s="1"/>
      <c r="D47" s="2"/>
      <c r="E47" s="398">
        <f t="shared" si="0"/>
        <v>0</v>
      </c>
      <c r="F47" s="5"/>
      <c r="G47" s="111"/>
      <c r="H47" s="321">
        <f>IF(F47="j",D47/Allgemeines!$B$30*$C$29,G47)</f>
        <v>0</v>
      </c>
      <c r="I47" s="411">
        <f t="shared" si="1"/>
        <v>0</v>
      </c>
      <c r="J47" s="139">
        <f>IF(AND(F47&lt;&gt;"",B47="Rückspeisung eN",Allgemeines!$B$29&lt;=2028),$J$21,0)
+IF(AND(F47&lt;&gt;"",OR(B47="EEG-nvol",B47="KWKG",B47="Sonstige-nvol"),AND(OR(C47="&lt;= 2022",C47&lt;=2022),Allgemeines!$B$29&lt;=2025)),1,0)
+IF(AND(F47&lt;&gt;"",OR(B47="EEG-nvol",B47="KWKG",B47="Sonstige-nvol"),AND(OR(C47="&lt;= 2022",C47&lt;=2022),Allgemeines!$B$29&gt;=2026)),1-(Allgemeines!$B$29-2025)/4,0)
+IF(AND(F47&lt;&gt;"",OR(B47="EEG-vol",B47="Sonstige-vol"),OR(C47="&lt;= 2017",C47&lt;=2017),C47&gt;1900),MIN(1,MAX(0,1-(Allgemeines!$B$29-2017)/3)),0)</f>
        <v>0</v>
      </c>
      <c r="K47" s="139">
        <f t="shared" si="2"/>
        <v>0</v>
      </c>
      <c r="L47" s="138"/>
      <c r="M47" s="413" t="str">
        <f t="shared" si="3"/>
        <v/>
      </c>
      <c r="N47" s="402">
        <f t="shared" si="4"/>
        <v>0</v>
      </c>
      <c r="O47" s="403">
        <f t="shared" si="5"/>
        <v>0</v>
      </c>
      <c r="P47" s="404">
        <f t="shared" si="6"/>
        <v>0</v>
      </c>
      <c r="Q47" s="405">
        <f t="shared" si="7"/>
        <v>0</v>
      </c>
      <c r="R47" s="111"/>
      <c r="S47" s="321">
        <f>IF($F47="j",$D47/Allgemeines!$B$30*W$25,R47)*$K47</f>
        <v>0</v>
      </c>
      <c r="T47" s="406">
        <f t="shared" si="8"/>
        <v>0</v>
      </c>
      <c r="U47" s="399">
        <f t="shared" si="9"/>
        <v>0</v>
      </c>
      <c r="V47" s="405">
        <f t="shared" si="10"/>
        <v>0</v>
      </c>
      <c r="W47" s="558"/>
      <c r="X47" s="662">
        <f t="shared" si="11"/>
        <v>0</v>
      </c>
      <c r="Y47" s="663">
        <f t="shared" si="12"/>
        <v>0</v>
      </c>
      <c r="Z47" s="402">
        <f t="shared" si="13"/>
        <v>0</v>
      </c>
      <c r="AA47" s="408">
        <f t="shared" si="14"/>
        <v>0</v>
      </c>
      <c r="AB47" s="409">
        <f t="shared" si="15"/>
        <v>0</v>
      </c>
      <c r="AC47" s="402">
        <f t="shared" si="16"/>
        <v>0</v>
      </c>
      <c r="AD47" s="408">
        <f t="shared" si="17"/>
        <v>0</v>
      </c>
      <c r="AE47" s="409">
        <f t="shared" si="18"/>
        <v>0</v>
      </c>
    </row>
    <row r="48" spans="1:31" x14ac:dyDescent="0.25">
      <c r="A48" s="151"/>
      <c r="B48" s="1"/>
      <c r="C48" s="1"/>
      <c r="D48" s="2"/>
      <c r="E48" s="398">
        <f t="shared" si="0"/>
        <v>0</v>
      </c>
      <c r="F48" s="5"/>
      <c r="G48" s="111"/>
      <c r="H48" s="321">
        <f>IF(F48="j",D48/Allgemeines!$B$30*$C$29,G48)</f>
        <v>0</v>
      </c>
      <c r="I48" s="411">
        <f t="shared" si="1"/>
        <v>0</v>
      </c>
      <c r="J48" s="139">
        <f>IF(AND(F48&lt;&gt;"",B48="Rückspeisung eN",Allgemeines!$B$29&lt;=2028),$J$21,0)
+IF(AND(F48&lt;&gt;"",OR(B48="EEG-nvol",B48="KWKG",B48="Sonstige-nvol"),AND(OR(C48="&lt;= 2022",C48&lt;=2022),Allgemeines!$B$29&lt;=2025)),1,0)
+IF(AND(F48&lt;&gt;"",OR(B48="EEG-nvol",B48="KWKG",B48="Sonstige-nvol"),AND(OR(C48="&lt;= 2022",C48&lt;=2022),Allgemeines!$B$29&gt;=2026)),1-(Allgemeines!$B$29-2025)/4,0)
+IF(AND(F48&lt;&gt;"",OR(B48="EEG-vol",B48="Sonstige-vol"),OR(C48="&lt;= 2017",C48&lt;=2017),C48&gt;1900),MIN(1,MAX(0,1-(Allgemeines!$B$29-2017)/3)),0)</f>
        <v>0</v>
      </c>
      <c r="K48" s="139">
        <f t="shared" si="2"/>
        <v>0</v>
      </c>
      <c r="L48" s="138"/>
      <c r="M48" s="413" t="str">
        <f t="shared" si="3"/>
        <v/>
      </c>
      <c r="N48" s="402">
        <f t="shared" si="4"/>
        <v>0</v>
      </c>
      <c r="O48" s="403">
        <f t="shared" si="5"/>
        <v>0</v>
      </c>
      <c r="P48" s="404">
        <f t="shared" si="6"/>
        <v>0</v>
      </c>
      <c r="Q48" s="405">
        <f t="shared" si="7"/>
        <v>0</v>
      </c>
      <c r="R48" s="111"/>
      <c r="S48" s="321">
        <f>IF($F48="j",$D48/Allgemeines!$B$30*W$25,R48)*$K48</f>
        <v>0</v>
      </c>
      <c r="T48" s="406">
        <f t="shared" si="8"/>
        <v>0</v>
      </c>
      <c r="U48" s="399">
        <f t="shared" si="9"/>
        <v>0</v>
      </c>
      <c r="V48" s="405">
        <f t="shared" si="10"/>
        <v>0</v>
      </c>
      <c r="W48" s="558"/>
      <c r="X48" s="662">
        <f t="shared" si="11"/>
        <v>0</v>
      </c>
      <c r="Y48" s="663">
        <f t="shared" si="12"/>
        <v>0</v>
      </c>
      <c r="Z48" s="402">
        <f t="shared" si="13"/>
        <v>0</v>
      </c>
      <c r="AA48" s="408">
        <f t="shared" si="14"/>
        <v>0</v>
      </c>
      <c r="AB48" s="409">
        <f t="shared" si="15"/>
        <v>0</v>
      </c>
      <c r="AC48" s="402">
        <f t="shared" si="16"/>
        <v>0</v>
      </c>
      <c r="AD48" s="408">
        <f t="shared" si="17"/>
        <v>0</v>
      </c>
      <c r="AE48" s="409">
        <f t="shared" si="18"/>
        <v>0</v>
      </c>
    </row>
    <row r="49" spans="1:31" x14ac:dyDescent="0.25">
      <c r="A49" s="151"/>
      <c r="B49" s="1"/>
      <c r="C49" s="1"/>
      <c r="D49" s="2"/>
      <c r="E49" s="398">
        <f t="shared" ref="E49" si="19">D49*$C$14</f>
        <v>0</v>
      </c>
      <c r="F49" s="5"/>
      <c r="G49" s="111"/>
      <c r="H49" s="321">
        <f>IF(F49="j",D49/Allgemeines!$B$30*$C$29,G49)</f>
        <v>0</v>
      </c>
      <c r="I49" s="411">
        <f t="shared" ref="I49" si="20">H49*$C$31</f>
        <v>0</v>
      </c>
      <c r="J49" s="140">
        <f>IF(AND(F49&lt;&gt;"",B49="Rückspeisung eN",Allgemeines!$B$29&lt;=2028),$J$21,0)
+IF(AND(F49&lt;&gt;"",OR(B49="EEG-nvol",B49="KWKG",B49="Sonstige-nvol"),AND(OR(C49="&lt;= 2022",C49&lt;=2022),Allgemeines!$B$29&lt;=2025)),1,0)
+IF(AND(F49&lt;&gt;"",OR(B49="EEG-nvol",B49="KWKG",B49="Sonstige-nvol"),AND(OR(C49="&lt;= 2022",C49&lt;=2022),Allgemeines!$B$29&gt;=2026)),1-(Allgemeines!$B$29-2025)/4,0)
+IF(AND(F49&lt;&gt;"",OR(B49="EEG-vol",B49="Sonstige-vol"),OR(C49="&lt;= 2017",C49&lt;=2017),C49&gt;1900),MIN(1,MAX(0,1-(Allgemeines!$B$29-2017)/3)),0)</f>
        <v>0</v>
      </c>
      <c r="K49" s="140">
        <f t="shared" si="2"/>
        <v>0</v>
      </c>
      <c r="L49" s="138"/>
      <c r="M49" s="413" t="str">
        <f t="shared" si="3"/>
        <v/>
      </c>
      <c r="N49" s="402">
        <f t="shared" si="4"/>
        <v>0</v>
      </c>
      <c r="O49" s="403">
        <f t="shared" si="5"/>
        <v>0</v>
      </c>
      <c r="P49" s="404">
        <f t="shared" ref="P49" si="21">D49*J49</f>
        <v>0</v>
      </c>
      <c r="Q49" s="405">
        <f t="shared" si="7"/>
        <v>0</v>
      </c>
      <c r="R49" s="111"/>
      <c r="S49" s="321">
        <f>IF($F49="j",$D49/Allgemeines!$B$30*W$25,R49)*$K49</f>
        <v>0</v>
      </c>
      <c r="T49" s="406">
        <f t="shared" si="8"/>
        <v>0</v>
      </c>
      <c r="U49" s="399">
        <f t="shared" si="9"/>
        <v>0</v>
      </c>
      <c r="V49" s="405">
        <f t="shared" si="10"/>
        <v>0</v>
      </c>
      <c r="W49" s="558"/>
      <c r="X49" s="662">
        <f t="shared" si="11"/>
        <v>0</v>
      </c>
      <c r="Y49" s="663">
        <f t="shared" si="12"/>
        <v>0</v>
      </c>
      <c r="Z49" s="402">
        <f t="shared" si="13"/>
        <v>0</v>
      </c>
      <c r="AA49" s="408">
        <f t="shared" si="14"/>
        <v>0</v>
      </c>
      <c r="AB49" s="409">
        <f t="shared" ref="AB49" si="22">Z49+AA49</f>
        <v>0</v>
      </c>
      <c r="AC49" s="402">
        <f t="shared" si="16"/>
        <v>0</v>
      </c>
      <c r="AD49" s="405">
        <f t="shared" si="17"/>
        <v>0</v>
      </c>
      <c r="AE49" s="409">
        <f t="shared" ref="AE49" si="23">AC49+AD49</f>
        <v>0</v>
      </c>
    </row>
    <row r="50" spans="1:31" ht="15.75" thickBot="1" x14ac:dyDescent="0.3">
      <c r="A50" s="176"/>
      <c r="B50" s="66"/>
      <c r="C50" s="66"/>
      <c r="D50" s="66"/>
      <c r="E50" s="414"/>
      <c r="F50" s="72"/>
      <c r="G50" s="321"/>
      <c r="H50" s="321"/>
      <c r="I50" s="415"/>
      <c r="J50" s="415"/>
      <c r="K50" s="415"/>
      <c r="L50" s="415"/>
      <c r="M50" s="416"/>
      <c r="N50" s="70"/>
      <c r="O50" s="417"/>
      <c r="P50" s="417"/>
      <c r="Q50" s="417"/>
      <c r="R50" s="417"/>
      <c r="S50" s="417"/>
      <c r="T50" s="417"/>
      <c r="U50" s="417"/>
      <c r="V50" s="417"/>
      <c r="W50" s="417"/>
      <c r="X50" s="417"/>
      <c r="Y50" s="417"/>
      <c r="Z50" s="417"/>
      <c r="AA50" s="417"/>
      <c r="AB50" s="417"/>
      <c r="AC50" s="417"/>
      <c r="AD50" s="417"/>
    </row>
    <row r="51" spans="1:31" ht="15.75" thickBot="1" x14ac:dyDescent="0.3">
      <c r="A51" s="418" t="s">
        <v>377</v>
      </c>
      <c r="B51" s="419"/>
      <c r="C51" s="419"/>
      <c r="D51" s="419"/>
      <c r="E51" s="419"/>
      <c r="F51" s="419"/>
      <c r="G51" s="420"/>
      <c r="H51" s="420"/>
      <c r="I51" s="420"/>
      <c r="J51" s="420"/>
      <c r="K51" s="420"/>
      <c r="L51" s="420"/>
      <c r="M51" s="421"/>
      <c r="N51" s="419"/>
      <c r="O51" s="419"/>
      <c r="P51" s="419"/>
      <c r="Q51" s="419"/>
      <c r="R51" s="419"/>
      <c r="S51" s="420"/>
      <c r="T51" s="419"/>
      <c r="U51" s="420"/>
      <c r="V51" s="419"/>
      <c r="W51" s="419"/>
      <c r="X51" s="419"/>
      <c r="Y51" s="419"/>
      <c r="Z51" s="419"/>
      <c r="AA51" s="419"/>
      <c r="AB51" s="419"/>
      <c r="AC51" s="419"/>
      <c r="AD51" s="419"/>
      <c r="AE51" s="422"/>
    </row>
    <row r="52" spans="1:31" s="69" customFormat="1" ht="15" hidden="1" customHeight="1" thickBot="1" x14ac:dyDescent="0.3">
      <c r="A52" s="423" t="s">
        <v>261</v>
      </c>
      <c r="B52" s="372" t="s">
        <v>262</v>
      </c>
      <c r="C52" s="372" t="s">
        <v>263</v>
      </c>
      <c r="D52" s="372" t="s">
        <v>264</v>
      </c>
      <c r="E52" s="373" t="s">
        <v>265</v>
      </c>
      <c r="F52" s="374" t="s">
        <v>266</v>
      </c>
      <c r="G52" s="372" t="s">
        <v>409</v>
      </c>
      <c r="H52" s="375" t="s">
        <v>410</v>
      </c>
      <c r="I52" s="424" t="s">
        <v>267</v>
      </c>
      <c r="J52" s="425" t="s">
        <v>268</v>
      </c>
      <c r="K52" s="425" t="s">
        <v>269</v>
      </c>
      <c r="L52" s="425" t="s">
        <v>270</v>
      </c>
      <c r="M52" s="425" t="s">
        <v>271</v>
      </c>
      <c r="N52" s="379" t="s">
        <v>272</v>
      </c>
      <c r="O52" s="380" t="s">
        <v>273</v>
      </c>
      <c r="P52" s="381" t="s">
        <v>274</v>
      </c>
      <c r="Q52" s="382" t="s">
        <v>275</v>
      </c>
      <c r="R52" s="372" t="s">
        <v>276</v>
      </c>
      <c r="S52" s="372" t="s">
        <v>277</v>
      </c>
      <c r="T52" s="383" t="s">
        <v>278</v>
      </c>
      <c r="U52" s="155" t="s">
        <v>319</v>
      </c>
      <c r="V52" s="382" t="s">
        <v>320</v>
      </c>
      <c r="W52" s="379" t="s">
        <v>438</v>
      </c>
      <c r="X52" s="379" t="s">
        <v>327</v>
      </c>
      <c r="Y52" s="380" t="s">
        <v>339</v>
      </c>
      <c r="Z52" s="379" t="s">
        <v>340</v>
      </c>
      <c r="AA52" s="379" t="s">
        <v>341</v>
      </c>
      <c r="AB52" s="384" t="s">
        <v>342</v>
      </c>
      <c r="AC52" s="379" t="s">
        <v>343</v>
      </c>
      <c r="AD52" s="382" t="s">
        <v>344</v>
      </c>
      <c r="AE52" s="380" t="s">
        <v>345</v>
      </c>
    </row>
    <row r="53" spans="1:31" x14ac:dyDescent="0.25">
      <c r="A53" s="152"/>
      <c r="B53" s="1"/>
      <c r="C53" s="546"/>
      <c r="D53" s="2"/>
      <c r="E53" s="398">
        <f t="shared" ref="E53:E64" si="24">D53*$C$14</f>
        <v>0</v>
      </c>
      <c r="F53" s="69" t="str">
        <f t="shared" ref="F53:F64" si="25">"j"</f>
        <v>j</v>
      </c>
      <c r="G53" s="427"/>
      <c r="H53" s="321">
        <f>IF(F53="j",D53/Allgemeines!$B$30*$C$30,G53)</f>
        <v>0</v>
      </c>
      <c r="I53" s="411">
        <f t="shared" ref="I53:I64" si="26">H53*$C$31</f>
        <v>0</v>
      </c>
      <c r="J53" s="139">
        <f>IF(AND(F53&lt;&gt;"",B53="Rückspeisung eN",Allgemeines!$B$29&lt;=2028),$J$21,0)
+IF(AND(F53&lt;&gt;"",OR(B53="EEG-nvol",B53="KWKG",B53="Sonstige-nvol"),AND(OR(C53="&lt;= 2022",C53&lt;=2022),Allgemeines!$B$29&lt;=2025)),1,0)
+IF(AND(F53&lt;&gt;"",OR(B53="EEG-nvol",B53="KWKG",B53="Sonstige-nvol"),AND(OR(C53="&lt;= 2022",C53&lt;=2022),Allgemeines!$B$29&gt;=2026)),MIN(1,MAX(0,1-(Allgemeines!$B$29-2025)/4)),0)
+IF(AND(F53&lt;&gt;"",OR(B53="EEG-vol",B53="Sonstige-vol"),OR(C53="&lt;= 2017",C53&lt;=2017),C53&gt;1900),MIN(1,MAX(0,1-(Allgemeines!$B$29-2017)/3)),0)</f>
        <v>0</v>
      </c>
      <c r="K53" s="139">
        <f t="shared" ref="K53:K64" si="27">IF(B53="Rückspeisung eN",$K$21,J53)</f>
        <v>0</v>
      </c>
      <c r="L53" s="156"/>
      <c r="M53" s="413" t="str">
        <f t="shared" ref="M53:M64" si="28">IF(MAX($AE53,$AB53)&gt;0,
IF($AE53&lt;$AB53,"R","A"),"")</f>
        <v/>
      </c>
      <c r="N53" s="407">
        <f t="shared" ref="N53:N64" si="29">IF($AE53&lt;$AB53,AC53,Z53)</f>
        <v>0</v>
      </c>
      <c r="O53" s="434"/>
      <c r="P53" s="272">
        <f t="shared" ref="P53:P64" si="30">D53*J53</f>
        <v>0</v>
      </c>
      <c r="Q53" s="408">
        <f t="shared" ref="Q53:Q64" si="31">IF($P$69&gt;0,$V$15*P53/$P$69,0)</f>
        <v>0</v>
      </c>
      <c r="R53" s="429"/>
      <c r="S53" s="399">
        <f>IF($F53="j",$D53/Allgemeines!$B$30*W$26,R53)*$K53</f>
        <v>0</v>
      </c>
      <c r="T53" s="406">
        <f t="shared" ref="T53:T64" si="32">H53*K53</f>
        <v>0</v>
      </c>
      <c r="U53" s="399">
        <f t="shared" ref="U53:U64" si="33">CHOOSE(RIGHT(U$35,1),P53,S53,T53)</f>
        <v>0</v>
      </c>
      <c r="V53" s="429"/>
      <c r="W53" s="558"/>
      <c r="X53" s="664">
        <f t="shared" ref="X53:X64" si="34">N53+Q53</f>
        <v>0</v>
      </c>
      <c r="Y53" s="665"/>
      <c r="Z53" s="407">
        <f t="shared" ref="Z53:Z64" si="35">IF(L53&lt;&gt;0,E53*M$27/100*$J53,0)</f>
        <v>0</v>
      </c>
      <c r="AA53" s="434"/>
      <c r="AB53" s="432">
        <f t="shared" ref="AB53:AB64" si="36">Z53+AA53</f>
        <v>0</v>
      </c>
      <c r="AC53" s="407">
        <f t="shared" ref="AC53:AC64" si="37">IF(L53&lt;&gt;"",E53*IFERROR(VLOOKUP(L53,$L$28:$N$32,2,FALSE),0)/100*$J53,0)</f>
        <v>0</v>
      </c>
      <c r="AD53" s="434"/>
      <c r="AE53" s="433">
        <f t="shared" ref="AE53:AE64" si="38">AC53+AD53</f>
        <v>0</v>
      </c>
    </row>
    <row r="54" spans="1:31" x14ac:dyDescent="0.25">
      <c r="A54" s="153"/>
      <c r="B54" s="1"/>
      <c r="C54" s="546"/>
      <c r="D54" s="2"/>
      <c r="E54" s="398">
        <f t="shared" ref="E54:E63" si="39">D54*$C$14</f>
        <v>0</v>
      </c>
      <c r="F54" s="69" t="str">
        <f t="shared" ref="F54:F63" si="40">"j"</f>
        <v>j</v>
      </c>
      <c r="G54" s="427"/>
      <c r="H54" s="321">
        <f>IF(F54="j",D54/Allgemeines!$B$30*$C$30,G54)</f>
        <v>0</v>
      </c>
      <c r="I54" s="411">
        <f t="shared" ref="I54:I63" si="41">H54*$C$31</f>
        <v>0</v>
      </c>
      <c r="J54" s="139">
        <f>IF(AND(F54&lt;&gt;"",B54="Rückspeisung eN",Allgemeines!$B$29&lt;=2028),$J$21,0)
+IF(AND(F54&lt;&gt;"",OR(B54="EEG-nvol",B54="KWKG",B54="Sonstige-nvol"),AND(OR(C54="&lt;= 2022",C54&lt;=2022),Allgemeines!$B$29&lt;=2025)),1,0)
+IF(AND(F54&lt;&gt;"",OR(B54="EEG-nvol",B54="KWKG",B54="Sonstige-nvol"),AND(OR(C54="&lt;= 2022",C54&lt;=2022),Allgemeines!$B$29&gt;=2026)),MIN(1,MAX(0,1-(Allgemeines!$B$29-2025)/4)),0)
+IF(AND(F54&lt;&gt;"",OR(B54="EEG-vol",B54="Sonstige-vol"),OR(C54="&lt;= 2017",C54&lt;=2017),C54&gt;1900),MIN(1,MAX(0,1-(Allgemeines!$B$29-2017)/3)),0)</f>
        <v>0</v>
      </c>
      <c r="K54" s="140">
        <f t="shared" si="27"/>
        <v>0</v>
      </c>
      <c r="L54" s="156"/>
      <c r="M54" s="413" t="str">
        <f t="shared" si="28"/>
        <v/>
      </c>
      <c r="N54" s="407">
        <f t="shared" si="29"/>
        <v>0</v>
      </c>
      <c r="O54" s="434"/>
      <c r="P54" s="272">
        <f t="shared" ref="P54:P63" si="42">D54*J54</f>
        <v>0</v>
      </c>
      <c r="Q54" s="408">
        <f t="shared" si="31"/>
        <v>0</v>
      </c>
      <c r="R54" s="429"/>
      <c r="S54" s="399">
        <f>IF($F54="j",$D54/Allgemeines!$B$30*W$26,R54)*$K54</f>
        <v>0</v>
      </c>
      <c r="T54" s="406">
        <f t="shared" ref="T54:T63" si="43">H54*K54</f>
        <v>0</v>
      </c>
      <c r="U54" s="399">
        <f t="shared" si="33"/>
        <v>0</v>
      </c>
      <c r="V54" s="429"/>
      <c r="W54" s="558"/>
      <c r="X54" s="664">
        <f t="shared" si="34"/>
        <v>0</v>
      </c>
      <c r="Y54" s="665"/>
      <c r="Z54" s="407">
        <f t="shared" si="35"/>
        <v>0</v>
      </c>
      <c r="AA54" s="434"/>
      <c r="AB54" s="432">
        <f t="shared" ref="AB54:AB63" si="44">Z54+AA54</f>
        <v>0</v>
      </c>
      <c r="AC54" s="407">
        <f t="shared" si="37"/>
        <v>0</v>
      </c>
      <c r="AD54" s="434"/>
      <c r="AE54" s="433">
        <f t="shared" ref="AE54:AE63" si="45">AC54+AD54</f>
        <v>0</v>
      </c>
    </row>
    <row r="55" spans="1:31" x14ac:dyDescent="0.25">
      <c r="A55" s="153"/>
      <c r="B55" s="1"/>
      <c r="C55" s="546"/>
      <c r="D55" s="2"/>
      <c r="E55" s="398">
        <f t="shared" si="39"/>
        <v>0</v>
      </c>
      <c r="F55" s="69" t="str">
        <f t="shared" si="40"/>
        <v>j</v>
      </c>
      <c r="G55" s="427"/>
      <c r="H55" s="321">
        <f>IF(F55="j",D55/Allgemeines!$B$30*$C$30,G55)</f>
        <v>0</v>
      </c>
      <c r="I55" s="411">
        <f t="shared" si="41"/>
        <v>0</v>
      </c>
      <c r="J55" s="139">
        <f>IF(AND(F55&lt;&gt;"",B55="Rückspeisung eN",Allgemeines!$B$29&lt;=2028),$J$21,0)
+IF(AND(F55&lt;&gt;"",OR(B55="EEG-nvol",B55="KWKG",B55="Sonstige-nvol"),AND(OR(C55="&lt;= 2022",C55&lt;=2022),Allgemeines!$B$29&lt;=2025)),1,0)
+IF(AND(F55&lt;&gt;"",OR(B55="EEG-nvol",B55="KWKG",B55="Sonstige-nvol"),AND(OR(C55="&lt;= 2022",C55&lt;=2022),Allgemeines!$B$29&gt;=2026)),MIN(1,MAX(0,1-(Allgemeines!$B$29-2025)/4)),0)
+IF(AND(F55&lt;&gt;"",OR(B55="EEG-vol",B55="Sonstige-vol"),OR(C55="&lt;= 2017",C55&lt;=2017),C55&gt;1900),MIN(1,MAX(0,1-(Allgemeines!$B$29-2017)/3)),0)</f>
        <v>0</v>
      </c>
      <c r="K55" s="140">
        <f t="shared" si="27"/>
        <v>0</v>
      </c>
      <c r="L55" s="156"/>
      <c r="M55" s="413" t="str">
        <f t="shared" si="28"/>
        <v/>
      </c>
      <c r="N55" s="407">
        <f t="shared" si="29"/>
        <v>0</v>
      </c>
      <c r="O55" s="434"/>
      <c r="P55" s="272">
        <f t="shared" si="42"/>
        <v>0</v>
      </c>
      <c r="Q55" s="408">
        <f t="shared" si="31"/>
        <v>0</v>
      </c>
      <c r="R55" s="429"/>
      <c r="S55" s="399">
        <f>IF($F55="j",$D55/Allgemeines!$B$30*W$26,R55)*$K55</f>
        <v>0</v>
      </c>
      <c r="T55" s="406">
        <f t="shared" si="43"/>
        <v>0</v>
      </c>
      <c r="U55" s="399">
        <f t="shared" si="33"/>
        <v>0</v>
      </c>
      <c r="V55" s="429"/>
      <c r="W55" s="558"/>
      <c r="X55" s="664">
        <f t="shared" si="34"/>
        <v>0</v>
      </c>
      <c r="Y55" s="665"/>
      <c r="Z55" s="407">
        <f t="shared" si="35"/>
        <v>0</v>
      </c>
      <c r="AA55" s="434"/>
      <c r="AB55" s="432">
        <f t="shared" si="44"/>
        <v>0</v>
      </c>
      <c r="AC55" s="407">
        <f t="shared" si="37"/>
        <v>0</v>
      </c>
      <c r="AD55" s="434"/>
      <c r="AE55" s="433">
        <f t="shared" si="45"/>
        <v>0</v>
      </c>
    </row>
    <row r="56" spans="1:31" x14ac:dyDescent="0.25">
      <c r="A56" s="153"/>
      <c r="B56" s="1"/>
      <c r="C56" s="546"/>
      <c r="D56" s="2"/>
      <c r="E56" s="398">
        <f t="shared" si="39"/>
        <v>0</v>
      </c>
      <c r="F56" s="69" t="str">
        <f t="shared" si="40"/>
        <v>j</v>
      </c>
      <c r="G56" s="427"/>
      <c r="H56" s="321">
        <f>IF(F56="j",D56/Allgemeines!$B$30*$C$30,G56)</f>
        <v>0</v>
      </c>
      <c r="I56" s="411">
        <f t="shared" si="41"/>
        <v>0</v>
      </c>
      <c r="J56" s="139">
        <f>IF(AND(F56&lt;&gt;"",B56="Rückspeisung eN",Allgemeines!$B$29&lt;=2028),$J$21,0)
+IF(AND(F56&lt;&gt;"",OR(B56="EEG-nvol",B56="KWKG",B56="Sonstige-nvol"),AND(OR(C56="&lt;= 2022",C56&lt;=2022),Allgemeines!$B$29&lt;=2025)),1,0)
+IF(AND(F56&lt;&gt;"",OR(B56="EEG-nvol",B56="KWKG",B56="Sonstige-nvol"),AND(OR(C56="&lt;= 2022",C56&lt;=2022),Allgemeines!$B$29&gt;=2026)),MIN(1,MAX(0,1-(Allgemeines!$B$29-2025)/4)),0)
+IF(AND(F56&lt;&gt;"",OR(B56="EEG-vol",B56="Sonstige-vol"),OR(C56="&lt;= 2017",C56&lt;=2017),C56&gt;1900),MIN(1,MAX(0,1-(Allgemeines!$B$29-2017)/3)),0)</f>
        <v>0</v>
      </c>
      <c r="K56" s="140">
        <f t="shared" si="27"/>
        <v>0</v>
      </c>
      <c r="L56" s="156"/>
      <c r="M56" s="413" t="str">
        <f t="shared" si="28"/>
        <v/>
      </c>
      <c r="N56" s="407">
        <f t="shared" si="29"/>
        <v>0</v>
      </c>
      <c r="O56" s="434"/>
      <c r="P56" s="272">
        <f t="shared" si="42"/>
        <v>0</v>
      </c>
      <c r="Q56" s="408">
        <f t="shared" si="31"/>
        <v>0</v>
      </c>
      <c r="R56" s="429"/>
      <c r="S56" s="399">
        <f>IF($F56="j",$D56/Allgemeines!$B$30*W$26,R56)*$K56</f>
        <v>0</v>
      </c>
      <c r="T56" s="406">
        <f t="shared" si="43"/>
        <v>0</v>
      </c>
      <c r="U56" s="399">
        <f t="shared" si="33"/>
        <v>0</v>
      </c>
      <c r="V56" s="429"/>
      <c r="W56" s="558"/>
      <c r="X56" s="664">
        <f t="shared" si="34"/>
        <v>0</v>
      </c>
      <c r="Y56" s="665"/>
      <c r="Z56" s="407">
        <f t="shared" si="35"/>
        <v>0</v>
      </c>
      <c r="AA56" s="434"/>
      <c r="AB56" s="432">
        <f t="shared" si="44"/>
        <v>0</v>
      </c>
      <c r="AC56" s="407">
        <f t="shared" si="37"/>
        <v>0</v>
      </c>
      <c r="AD56" s="434"/>
      <c r="AE56" s="433">
        <f t="shared" si="45"/>
        <v>0</v>
      </c>
    </row>
    <row r="57" spans="1:31" x14ac:dyDescent="0.25">
      <c r="A57" s="153"/>
      <c r="B57" s="1"/>
      <c r="C57" s="546"/>
      <c r="D57" s="2"/>
      <c r="E57" s="398">
        <f t="shared" si="39"/>
        <v>0</v>
      </c>
      <c r="F57" s="69" t="str">
        <f t="shared" si="40"/>
        <v>j</v>
      </c>
      <c r="G57" s="427"/>
      <c r="H57" s="321">
        <f>IF(F57="j",D57/Allgemeines!$B$30*$C$30,G57)</f>
        <v>0</v>
      </c>
      <c r="I57" s="411">
        <f t="shared" si="41"/>
        <v>0</v>
      </c>
      <c r="J57" s="139">
        <f>IF(AND(F57&lt;&gt;"",B57="Rückspeisung eN",Allgemeines!$B$29&lt;=2028),$J$21,0)
+IF(AND(F57&lt;&gt;"",OR(B57="EEG-nvol",B57="KWKG",B57="Sonstige-nvol"),AND(OR(C57="&lt;= 2022",C57&lt;=2022),Allgemeines!$B$29&lt;=2025)),1,0)
+IF(AND(F57&lt;&gt;"",OR(B57="EEG-nvol",B57="KWKG",B57="Sonstige-nvol"),AND(OR(C57="&lt;= 2022",C57&lt;=2022),Allgemeines!$B$29&gt;=2026)),MIN(1,MAX(0,1-(Allgemeines!$B$29-2025)/4)),0)
+IF(AND(F57&lt;&gt;"",OR(B57="EEG-vol",B57="Sonstige-vol"),OR(C57="&lt;= 2017",C57&lt;=2017),C57&gt;1900),MIN(1,MAX(0,1-(Allgemeines!$B$29-2017)/3)),0)</f>
        <v>0</v>
      </c>
      <c r="K57" s="140">
        <f t="shared" si="27"/>
        <v>0</v>
      </c>
      <c r="L57" s="156"/>
      <c r="M57" s="413" t="str">
        <f t="shared" si="28"/>
        <v/>
      </c>
      <c r="N57" s="407">
        <f t="shared" si="29"/>
        <v>0</v>
      </c>
      <c r="O57" s="434"/>
      <c r="P57" s="272">
        <f t="shared" si="42"/>
        <v>0</v>
      </c>
      <c r="Q57" s="408">
        <f t="shared" si="31"/>
        <v>0</v>
      </c>
      <c r="R57" s="429"/>
      <c r="S57" s="399">
        <f>IF($F57="j",$D57/Allgemeines!$B$30*W$26,R57)*$K57</f>
        <v>0</v>
      </c>
      <c r="T57" s="406">
        <f t="shared" si="43"/>
        <v>0</v>
      </c>
      <c r="U57" s="399">
        <f t="shared" si="33"/>
        <v>0</v>
      </c>
      <c r="V57" s="429"/>
      <c r="W57" s="558"/>
      <c r="X57" s="664">
        <f t="shared" si="34"/>
        <v>0</v>
      </c>
      <c r="Y57" s="665"/>
      <c r="Z57" s="407">
        <f t="shared" si="35"/>
        <v>0</v>
      </c>
      <c r="AA57" s="434"/>
      <c r="AB57" s="432">
        <f t="shared" si="44"/>
        <v>0</v>
      </c>
      <c r="AC57" s="407">
        <f t="shared" si="37"/>
        <v>0</v>
      </c>
      <c r="AD57" s="434"/>
      <c r="AE57" s="433">
        <f t="shared" si="45"/>
        <v>0</v>
      </c>
    </row>
    <row r="58" spans="1:31" x14ac:dyDescent="0.25">
      <c r="A58" s="153"/>
      <c r="B58" s="1"/>
      <c r="C58" s="546"/>
      <c r="D58" s="2"/>
      <c r="E58" s="398">
        <f t="shared" si="39"/>
        <v>0</v>
      </c>
      <c r="F58" s="69" t="str">
        <f t="shared" si="40"/>
        <v>j</v>
      </c>
      <c r="G58" s="427"/>
      <c r="H58" s="321">
        <f>IF(F58="j",D58/Allgemeines!$B$30*$C$30,G58)</f>
        <v>0</v>
      </c>
      <c r="I58" s="411">
        <f t="shared" si="41"/>
        <v>0</v>
      </c>
      <c r="J58" s="139">
        <f>IF(AND(F58&lt;&gt;"",B58="Rückspeisung eN",Allgemeines!$B$29&lt;=2028),$J$21,0)
+IF(AND(F58&lt;&gt;"",OR(B58="EEG-nvol",B58="KWKG",B58="Sonstige-nvol"),AND(OR(C58="&lt;= 2022",C58&lt;=2022),Allgemeines!$B$29&lt;=2025)),1,0)
+IF(AND(F58&lt;&gt;"",OR(B58="EEG-nvol",B58="KWKG",B58="Sonstige-nvol"),AND(OR(C58="&lt;= 2022",C58&lt;=2022),Allgemeines!$B$29&gt;=2026)),MIN(1,MAX(0,1-(Allgemeines!$B$29-2025)/4)),0)
+IF(AND(F58&lt;&gt;"",OR(B58="EEG-vol",B58="Sonstige-vol"),OR(C58="&lt;= 2017",C58&lt;=2017),C58&gt;1900),MIN(1,MAX(0,1-(Allgemeines!$B$29-2017)/3)),0)</f>
        <v>0</v>
      </c>
      <c r="K58" s="140">
        <f t="shared" si="27"/>
        <v>0</v>
      </c>
      <c r="L58" s="156"/>
      <c r="M58" s="413" t="str">
        <f t="shared" si="28"/>
        <v/>
      </c>
      <c r="N58" s="407">
        <f t="shared" si="29"/>
        <v>0</v>
      </c>
      <c r="O58" s="434"/>
      <c r="P58" s="272">
        <f t="shared" si="42"/>
        <v>0</v>
      </c>
      <c r="Q58" s="408">
        <f t="shared" si="31"/>
        <v>0</v>
      </c>
      <c r="R58" s="429"/>
      <c r="S58" s="399">
        <f>IF($F58="j",$D58/Allgemeines!$B$30*W$26,R58)*$K58</f>
        <v>0</v>
      </c>
      <c r="T58" s="406">
        <f t="shared" si="43"/>
        <v>0</v>
      </c>
      <c r="U58" s="399">
        <f t="shared" si="33"/>
        <v>0</v>
      </c>
      <c r="V58" s="429"/>
      <c r="W58" s="558"/>
      <c r="X58" s="664">
        <f t="shared" si="34"/>
        <v>0</v>
      </c>
      <c r="Y58" s="665"/>
      <c r="Z58" s="407">
        <f t="shared" si="35"/>
        <v>0</v>
      </c>
      <c r="AA58" s="434"/>
      <c r="AB58" s="432">
        <f t="shared" si="44"/>
        <v>0</v>
      </c>
      <c r="AC58" s="407">
        <f t="shared" si="37"/>
        <v>0</v>
      </c>
      <c r="AD58" s="434"/>
      <c r="AE58" s="433">
        <f t="shared" si="45"/>
        <v>0</v>
      </c>
    </row>
    <row r="59" spans="1:31" x14ac:dyDescent="0.25">
      <c r="A59" s="153"/>
      <c r="B59" s="1"/>
      <c r="C59" s="546"/>
      <c r="D59" s="2"/>
      <c r="E59" s="398">
        <f t="shared" si="39"/>
        <v>0</v>
      </c>
      <c r="F59" s="69" t="str">
        <f t="shared" si="40"/>
        <v>j</v>
      </c>
      <c r="G59" s="427"/>
      <c r="H59" s="321">
        <f>IF(F59="j",D59/Allgemeines!$B$30*$C$30,G59)</f>
        <v>0</v>
      </c>
      <c r="I59" s="411">
        <f t="shared" si="41"/>
        <v>0</v>
      </c>
      <c r="J59" s="139">
        <f>IF(AND(F59&lt;&gt;"",B59="Rückspeisung eN",Allgemeines!$B$29&lt;=2028),$J$21,0)
+IF(AND(F59&lt;&gt;"",OR(B59="EEG-nvol",B59="KWKG",B59="Sonstige-nvol"),AND(OR(C59="&lt;= 2022",C59&lt;=2022),Allgemeines!$B$29&lt;=2025)),1,0)
+IF(AND(F59&lt;&gt;"",OR(B59="EEG-nvol",B59="KWKG",B59="Sonstige-nvol"),AND(OR(C59="&lt;= 2022",C59&lt;=2022),Allgemeines!$B$29&gt;=2026)),MIN(1,MAX(0,1-(Allgemeines!$B$29-2025)/4)),0)
+IF(AND(F59&lt;&gt;"",OR(B59="EEG-vol",B59="Sonstige-vol"),OR(C59="&lt;= 2017",C59&lt;=2017),C59&gt;1900),MIN(1,MAX(0,1-(Allgemeines!$B$29-2017)/3)),0)</f>
        <v>0</v>
      </c>
      <c r="K59" s="140">
        <f t="shared" si="27"/>
        <v>0</v>
      </c>
      <c r="L59" s="156"/>
      <c r="M59" s="413" t="str">
        <f t="shared" si="28"/>
        <v/>
      </c>
      <c r="N59" s="407">
        <f t="shared" si="29"/>
        <v>0</v>
      </c>
      <c r="O59" s="434"/>
      <c r="P59" s="272">
        <f t="shared" si="42"/>
        <v>0</v>
      </c>
      <c r="Q59" s="408">
        <f t="shared" si="31"/>
        <v>0</v>
      </c>
      <c r="R59" s="429"/>
      <c r="S59" s="399">
        <f>IF($F59="j",$D59/Allgemeines!$B$30*W$26,R59)*$K59</f>
        <v>0</v>
      </c>
      <c r="T59" s="406">
        <f t="shared" si="43"/>
        <v>0</v>
      </c>
      <c r="U59" s="399">
        <f t="shared" si="33"/>
        <v>0</v>
      </c>
      <c r="V59" s="429"/>
      <c r="W59" s="558"/>
      <c r="X59" s="664">
        <f t="shared" si="34"/>
        <v>0</v>
      </c>
      <c r="Y59" s="665"/>
      <c r="Z59" s="407">
        <f t="shared" si="35"/>
        <v>0</v>
      </c>
      <c r="AA59" s="434"/>
      <c r="AB59" s="432">
        <f t="shared" si="44"/>
        <v>0</v>
      </c>
      <c r="AC59" s="407">
        <f t="shared" si="37"/>
        <v>0</v>
      </c>
      <c r="AD59" s="434"/>
      <c r="AE59" s="433">
        <f t="shared" si="45"/>
        <v>0</v>
      </c>
    </row>
    <row r="60" spans="1:31" x14ac:dyDescent="0.25">
      <c r="A60" s="153"/>
      <c r="B60" s="1"/>
      <c r="C60" s="546"/>
      <c r="D60" s="2"/>
      <c r="E60" s="398">
        <f t="shared" si="39"/>
        <v>0</v>
      </c>
      <c r="F60" s="69" t="str">
        <f t="shared" si="40"/>
        <v>j</v>
      </c>
      <c r="G60" s="427"/>
      <c r="H60" s="321">
        <f>IF(F60="j",D60/Allgemeines!$B$30*$C$30,G60)</f>
        <v>0</v>
      </c>
      <c r="I60" s="411">
        <f t="shared" si="41"/>
        <v>0</v>
      </c>
      <c r="J60" s="139">
        <f>IF(AND(F60&lt;&gt;"",B60="Rückspeisung eN",Allgemeines!$B$29&lt;=2028),$J$21,0)
+IF(AND(F60&lt;&gt;"",OR(B60="EEG-nvol",B60="KWKG",B60="Sonstige-nvol"),AND(OR(C60="&lt;= 2022",C60&lt;=2022),Allgemeines!$B$29&lt;=2025)),1,0)
+IF(AND(F60&lt;&gt;"",OR(B60="EEG-nvol",B60="KWKG",B60="Sonstige-nvol"),AND(OR(C60="&lt;= 2022",C60&lt;=2022),Allgemeines!$B$29&gt;=2026)),MIN(1,MAX(0,1-(Allgemeines!$B$29-2025)/4)),0)
+IF(AND(F60&lt;&gt;"",OR(B60="EEG-vol",B60="Sonstige-vol"),OR(C60="&lt;= 2017",C60&lt;=2017),C60&gt;1900),MIN(1,MAX(0,1-(Allgemeines!$B$29-2017)/3)),0)</f>
        <v>0</v>
      </c>
      <c r="K60" s="140">
        <f t="shared" si="27"/>
        <v>0</v>
      </c>
      <c r="L60" s="156"/>
      <c r="M60" s="413" t="str">
        <f t="shared" si="28"/>
        <v/>
      </c>
      <c r="N60" s="407">
        <f t="shared" si="29"/>
        <v>0</v>
      </c>
      <c r="O60" s="434"/>
      <c r="P60" s="272">
        <f t="shared" si="42"/>
        <v>0</v>
      </c>
      <c r="Q60" s="408">
        <f t="shared" si="31"/>
        <v>0</v>
      </c>
      <c r="R60" s="429"/>
      <c r="S60" s="399">
        <f>IF($F60="j",$D60/Allgemeines!$B$30*W$26,R60)*$K60</f>
        <v>0</v>
      </c>
      <c r="T60" s="406">
        <f t="shared" si="43"/>
        <v>0</v>
      </c>
      <c r="U60" s="399">
        <f t="shared" si="33"/>
        <v>0</v>
      </c>
      <c r="V60" s="429"/>
      <c r="W60" s="558"/>
      <c r="X60" s="664">
        <f t="shared" si="34"/>
        <v>0</v>
      </c>
      <c r="Y60" s="665"/>
      <c r="Z60" s="407">
        <f t="shared" si="35"/>
        <v>0</v>
      </c>
      <c r="AA60" s="434"/>
      <c r="AB60" s="432">
        <f t="shared" si="44"/>
        <v>0</v>
      </c>
      <c r="AC60" s="407">
        <f t="shared" si="37"/>
        <v>0</v>
      </c>
      <c r="AD60" s="434"/>
      <c r="AE60" s="433">
        <f t="shared" si="45"/>
        <v>0</v>
      </c>
    </row>
    <row r="61" spans="1:31" x14ac:dyDescent="0.25">
      <c r="A61" s="153"/>
      <c r="B61" s="1"/>
      <c r="C61" s="546"/>
      <c r="D61" s="2"/>
      <c r="E61" s="398">
        <f t="shared" si="39"/>
        <v>0</v>
      </c>
      <c r="F61" s="69" t="str">
        <f t="shared" si="40"/>
        <v>j</v>
      </c>
      <c r="G61" s="427"/>
      <c r="H61" s="321">
        <f>IF(F61="j",D61/Allgemeines!$B$30*$C$30,G61)</f>
        <v>0</v>
      </c>
      <c r="I61" s="411">
        <f t="shared" si="41"/>
        <v>0</v>
      </c>
      <c r="J61" s="139">
        <f>IF(AND(F61&lt;&gt;"",B61="Rückspeisung eN",Allgemeines!$B$29&lt;=2028),$J$21,0)
+IF(AND(F61&lt;&gt;"",OR(B61="EEG-nvol",B61="KWKG",B61="Sonstige-nvol"),AND(OR(C61="&lt;= 2022",C61&lt;=2022),Allgemeines!$B$29&lt;=2025)),1,0)
+IF(AND(F61&lt;&gt;"",OR(B61="EEG-nvol",B61="KWKG",B61="Sonstige-nvol"),AND(OR(C61="&lt;= 2022",C61&lt;=2022),Allgemeines!$B$29&gt;=2026)),MIN(1,MAX(0,1-(Allgemeines!$B$29-2025)/4)),0)
+IF(AND(F61&lt;&gt;"",OR(B61="EEG-vol",B61="Sonstige-vol"),OR(C61="&lt;= 2017",C61&lt;=2017),C61&gt;1900),MIN(1,MAX(0,1-(Allgemeines!$B$29-2017)/3)),0)</f>
        <v>0</v>
      </c>
      <c r="K61" s="140">
        <f t="shared" si="27"/>
        <v>0</v>
      </c>
      <c r="L61" s="156"/>
      <c r="M61" s="413" t="str">
        <f t="shared" si="28"/>
        <v/>
      </c>
      <c r="N61" s="407">
        <f t="shared" si="29"/>
        <v>0</v>
      </c>
      <c r="O61" s="434"/>
      <c r="P61" s="272">
        <f t="shared" si="42"/>
        <v>0</v>
      </c>
      <c r="Q61" s="408">
        <f t="shared" si="31"/>
        <v>0</v>
      </c>
      <c r="R61" s="429"/>
      <c r="S61" s="399">
        <f>IF($F61="j",$D61/Allgemeines!$B$30*W$26,R61)*$K61</f>
        <v>0</v>
      </c>
      <c r="T61" s="406">
        <f t="shared" si="43"/>
        <v>0</v>
      </c>
      <c r="U61" s="399">
        <f t="shared" si="33"/>
        <v>0</v>
      </c>
      <c r="V61" s="429"/>
      <c r="W61" s="558"/>
      <c r="X61" s="664">
        <f t="shared" si="34"/>
        <v>0</v>
      </c>
      <c r="Y61" s="665"/>
      <c r="Z61" s="407">
        <f t="shared" si="35"/>
        <v>0</v>
      </c>
      <c r="AA61" s="434"/>
      <c r="AB61" s="432">
        <f t="shared" si="44"/>
        <v>0</v>
      </c>
      <c r="AC61" s="407">
        <f t="shared" si="37"/>
        <v>0</v>
      </c>
      <c r="AD61" s="434"/>
      <c r="AE61" s="433">
        <f t="shared" si="45"/>
        <v>0</v>
      </c>
    </row>
    <row r="62" spans="1:31" x14ac:dyDescent="0.25">
      <c r="A62" s="153"/>
      <c r="B62" s="1"/>
      <c r="C62" s="546"/>
      <c r="D62" s="2"/>
      <c r="E62" s="398">
        <f t="shared" si="39"/>
        <v>0</v>
      </c>
      <c r="F62" s="69" t="str">
        <f t="shared" si="40"/>
        <v>j</v>
      </c>
      <c r="G62" s="427"/>
      <c r="H62" s="321">
        <f>IF(F62="j",D62/Allgemeines!$B$30*$C$30,G62)</f>
        <v>0</v>
      </c>
      <c r="I62" s="411">
        <f t="shared" si="41"/>
        <v>0</v>
      </c>
      <c r="J62" s="139">
        <f>IF(AND(F62&lt;&gt;"",B62="Rückspeisung eN",Allgemeines!$B$29&lt;=2028),$J$21,0)
+IF(AND(F62&lt;&gt;"",OR(B62="EEG-nvol",B62="KWKG",B62="Sonstige-nvol"),AND(OR(C62="&lt;= 2022",C62&lt;=2022),Allgemeines!$B$29&lt;=2025)),1,0)
+IF(AND(F62&lt;&gt;"",OR(B62="EEG-nvol",B62="KWKG",B62="Sonstige-nvol"),AND(OR(C62="&lt;= 2022",C62&lt;=2022),Allgemeines!$B$29&gt;=2026)),MIN(1,MAX(0,1-(Allgemeines!$B$29-2025)/4)),0)
+IF(AND(F62&lt;&gt;"",OR(B62="EEG-vol",B62="Sonstige-vol"),OR(C62="&lt;= 2017",C62&lt;=2017),C62&gt;1900),MIN(1,MAX(0,1-(Allgemeines!$B$29-2017)/3)),0)</f>
        <v>0</v>
      </c>
      <c r="K62" s="140">
        <f t="shared" si="27"/>
        <v>0</v>
      </c>
      <c r="L62" s="156"/>
      <c r="M62" s="413" t="str">
        <f t="shared" si="28"/>
        <v/>
      </c>
      <c r="N62" s="407">
        <f t="shared" si="29"/>
        <v>0</v>
      </c>
      <c r="O62" s="434"/>
      <c r="P62" s="272">
        <f t="shared" si="42"/>
        <v>0</v>
      </c>
      <c r="Q62" s="408">
        <f t="shared" si="31"/>
        <v>0</v>
      </c>
      <c r="R62" s="429"/>
      <c r="S62" s="399">
        <f>IF($F62="j",$D62/Allgemeines!$B$30*W$26,R62)*$K62</f>
        <v>0</v>
      </c>
      <c r="T62" s="406">
        <f t="shared" si="43"/>
        <v>0</v>
      </c>
      <c r="U62" s="399">
        <f t="shared" si="33"/>
        <v>0</v>
      </c>
      <c r="V62" s="429"/>
      <c r="W62" s="558"/>
      <c r="X62" s="664">
        <f t="shared" si="34"/>
        <v>0</v>
      </c>
      <c r="Y62" s="665"/>
      <c r="Z62" s="407">
        <f t="shared" si="35"/>
        <v>0</v>
      </c>
      <c r="AA62" s="434"/>
      <c r="AB62" s="432">
        <f t="shared" si="44"/>
        <v>0</v>
      </c>
      <c r="AC62" s="407">
        <f t="shared" si="37"/>
        <v>0</v>
      </c>
      <c r="AD62" s="434"/>
      <c r="AE62" s="433">
        <f t="shared" si="45"/>
        <v>0</v>
      </c>
    </row>
    <row r="63" spans="1:31" x14ac:dyDescent="0.25">
      <c r="A63" s="153"/>
      <c r="B63" s="1"/>
      <c r="C63" s="546"/>
      <c r="D63" s="2"/>
      <c r="E63" s="398">
        <f t="shared" si="39"/>
        <v>0</v>
      </c>
      <c r="F63" s="69" t="str">
        <f t="shared" si="40"/>
        <v>j</v>
      </c>
      <c r="G63" s="427"/>
      <c r="H63" s="321">
        <f>IF(F63="j",D63/Allgemeines!$B$30*$C$30,G63)</f>
        <v>0</v>
      </c>
      <c r="I63" s="411">
        <f t="shared" si="41"/>
        <v>0</v>
      </c>
      <c r="J63" s="139">
        <f>IF(AND(F63&lt;&gt;"",B63="Rückspeisung eN",Allgemeines!$B$29&lt;=2028),$J$21,0)
+IF(AND(F63&lt;&gt;"",OR(B63="EEG-nvol",B63="KWKG",B63="Sonstige-nvol"),AND(OR(C63="&lt;= 2022",C63&lt;=2022),Allgemeines!$B$29&lt;=2025)),1,0)
+IF(AND(F63&lt;&gt;"",OR(B63="EEG-nvol",B63="KWKG",B63="Sonstige-nvol"),AND(OR(C63="&lt;= 2022",C63&lt;=2022),Allgemeines!$B$29&gt;=2026)),MIN(1,MAX(0,1-(Allgemeines!$B$29-2025)/4)),0)
+IF(AND(F63&lt;&gt;"",OR(B63="EEG-vol",B63="Sonstige-vol"),OR(C63="&lt;= 2017",C63&lt;=2017),C63&gt;1900),MIN(1,MAX(0,1-(Allgemeines!$B$29-2017)/3)),0)</f>
        <v>0</v>
      </c>
      <c r="K63" s="140">
        <f t="shared" si="27"/>
        <v>0</v>
      </c>
      <c r="L63" s="156"/>
      <c r="M63" s="413" t="str">
        <f t="shared" si="28"/>
        <v/>
      </c>
      <c r="N63" s="407">
        <f t="shared" si="29"/>
        <v>0</v>
      </c>
      <c r="O63" s="434"/>
      <c r="P63" s="272">
        <f t="shared" si="42"/>
        <v>0</v>
      </c>
      <c r="Q63" s="408">
        <f t="shared" si="31"/>
        <v>0</v>
      </c>
      <c r="R63" s="429"/>
      <c r="S63" s="399">
        <f>IF($F63="j",$D63/Allgemeines!$B$30*W$26,R63)*$K63</f>
        <v>0</v>
      </c>
      <c r="T63" s="406">
        <f t="shared" si="43"/>
        <v>0</v>
      </c>
      <c r="U63" s="399">
        <f t="shared" si="33"/>
        <v>0</v>
      </c>
      <c r="V63" s="429"/>
      <c r="W63" s="558"/>
      <c r="X63" s="664">
        <f t="shared" si="34"/>
        <v>0</v>
      </c>
      <c r="Y63" s="665"/>
      <c r="Z63" s="407">
        <f t="shared" si="35"/>
        <v>0</v>
      </c>
      <c r="AA63" s="434"/>
      <c r="AB63" s="432">
        <f t="shared" si="44"/>
        <v>0</v>
      </c>
      <c r="AC63" s="407">
        <f t="shared" si="37"/>
        <v>0</v>
      </c>
      <c r="AD63" s="434"/>
      <c r="AE63" s="433">
        <f t="shared" si="45"/>
        <v>0</v>
      </c>
    </row>
    <row r="64" spans="1:31" x14ac:dyDescent="0.25">
      <c r="A64" s="153"/>
      <c r="B64" s="1"/>
      <c r="C64" s="546"/>
      <c r="D64" s="2"/>
      <c r="E64" s="398">
        <f t="shared" si="24"/>
        <v>0</v>
      </c>
      <c r="F64" s="69" t="str">
        <f t="shared" si="25"/>
        <v>j</v>
      </c>
      <c r="G64" s="427"/>
      <c r="H64" s="321">
        <f>IF(F64="j",D64/Allgemeines!$B$30*$C$30,G64)</f>
        <v>0</v>
      </c>
      <c r="I64" s="411">
        <f t="shared" si="26"/>
        <v>0</v>
      </c>
      <c r="J64" s="139">
        <f>IF(AND(F64&lt;&gt;"",B64="Rückspeisung eN",Allgemeines!$B$29&lt;=2028),$J$21,0)
+IF(AND(F64&lt;&gt;"",OR(B64="EEG-nvol",B64="KWKG",B64="Sonstige-nvol"),AND(OR(C64="&lt;= 2022",C64&lt;=2022),Allgemeines!$B$29&lt;=2025)),1,0)
+IF(AND(F64&lt;&gt;"",OR(B64="EEG-nvol",B64="KWKG",B64="Sonstige-nvol"),AND(OR(C64="&lt;= 2022",C64&lt;=2022),Allgemeines!$B$29&gt;=2026)),MIN(1,MAX(0,1-(Allgemeines!$B$29-2025)/4)),0)
+IF(AND(F64&lt;&gt;"",OR(B64="EEG-vol",B64="Sonstige-vol"),OR(C64="&lt;= 2017",C64&lt;=2017),C64&gt;1900),MIN(1,MAX(0,1-(Allgemeines!$B$29-2017)/3)),0)</f>
        <v>0</v>
      </c>
      <c r="K64" s="140">
        <f t="shared" si="27"/>
        <v>0</v>
      </c>
      <c r="L64" s="156"/>
      <c r="M64" s="413" t="str">
        <f t="shared" si="28"/>
        <v/>
      </c>
      <c r="N64" s="407">
        <f t="shared" si="29"/>
        <v>0</v>
      </c>
      <c r="O64" s="434"/>
      <c r="P64" s="272">
        <f t="shared" si="30"/>
        <v>0</v>
      </c>
      <c r="Q64" s="408">
        <f t="shared" si="31"/>
        <v>0</v>
      </c>
      <c r="R64" s="429"/>
      <c r="S64" s="399">
        <f>IF($F64="j",$D64/Allgemeines!$B$30*W$26,R64)*$K64</f>
        <v>0</v>
      </c>
      <c r="T64" s="406">
        <f t="shared" si="32"/>
        <v>0</v>
      </c>
      <c r="U64" s="399">
        <f t="shared" si="33"/>
        <v>0</v>
      </c>
      <c r="V64" s="429"/>
      <c r="W64" s="558"/>
      <c r="X64" s="664">
        <f t="shared" si="34"/>
        <v>0</v>
      </c>
      <c r="Y64" s="665"/>
      <c r="Z64" s="407">
        <f t="shared" si="35"/>
        <v>0</v>
      </c>
      <c r="AA64" s="434"/>
      <c r="AB64" s="432">
        <f t="shared" si="36"/>
        <v>0</v>
      </c>
      <c r="AC64" s="407">
        <f t="shared" si="37"/>
        <v>0</v>
      </c>
      <c r="AD64" s="434"/>
      <c r="AE64" s="433">
        <f t="shared" si="38"/>
        <v>0</v>
      </c>
    </row>
    <row r="65" spans="1:31" ht="15.75" thickBot="1" x14ac:dyDescent="0.3">
      <c r="A65" s="435"/>
      <c r="D65" s="70"/>
      <c r="E65" s="280"/>
      <c r="F65" s="69"/>
      <c r="G65" s="321"/>
      <c r="H65" s="321"/>
      <c r="I65" s="321"/>
      <c r="J65" s="321"/>
      <c r="K65" s="321"/>
      <c r="L65" s="321"/>
      <c r="M65" s="321"/>
      <c r="N65" s="321"/>
      <c r="O65" s="436"/>
      <c r="P65" s="437"/>
      <c r="Q65" s="437"/>
      <c r="R65" s="437"/>
      <c r="S65" s="70"/>
      <c r="T65" s="70"/>
      <c r="U65" s="321"/>
      <c r="V65" s="70"/>
      <c r="W65" s="70"/>
      <c r="X65" s="280"/>
      <c r="Y65" s="280"/>
      <c r="Z65" s="70"/>
      <c r="AA65" s="70"/>
      <c r="AB65" s="70"/>
      <c r="AC65" s="70"/>
      <c r="AD65" s="70"/>
    </row>
    <row r="66" spans="1:31" x14ac:dyDescent="0.25">
      <c r="A66" s="73" t="s">
        <v>215</v>
      </c>
      <c r="B66" s="74"/>
      <c r="C66" s="74"/>
      <c r="D66" s="438">
        <f>SUMIF($F$38:$F$49,"n",D38:D49)</f>
        <v>0</v>
      </c>
      <c r="E66" s="439">
        <f>SUMIF($F$38:$F$49,"n",E38:E49)</f>
        <v>0</v>
      </c>
      <c r="F66" s="440" t="s">
        <v>23</v>
      </c>
      <c r="G66" s="441">
        <f>SUMIF($F$38:$F$49,"n",G38:G49)</f>
        <v>0</v>
      </c>
      <c r="H66" s="441">
        <f>SUMIF($F$38:$F$49,"n",H38:H49)</f>
        <v>0</v>
      </c>
      <c r="I66" s="441">
        <f>SUMIF($F$38:$F$49,"n",I38:I49)</f>
        <v>0</v>
      </c>
      <c r="J66" s="442"/>
      <c r="K66" s="442"/>
      <c r="L66" s="442"/>
      <c r="M66" s="442"/>
      <c r="N66" s="448">
        <f t="shared" ref="N66:V66" si="46">SUMIF($F$38:$F$49,"n",N38:N49)</f>
        <v>0</v>
      </c>
      <c r="O66" s="686">
        <f t="shared" si="46"/>
        <v>0</v>
      </c>
      <c r="P66" s="443">
        <f t="shared" si="46"/>
        <v>0</v>
      </c>
      <c r="Q66" s="684">
        <f t="shared" si="46"/>
        <v>0</v>
      </c>
      <c r="R66" s="441">
        <f t="shared" si="46"/>
        <v>0</v>
      </c>
      <c r="S66" s="444">
        <f t="shared" si="46"/>
        <v>0</v>
      </c>
      <c r="T66" s="445">
        <f t="shared" si="46"/>
        <v>0</v>
      </c>
      <c r="U66" s="444">
        <f t="shared" si="46"/>
        <v>0</v>
      </c>
      <c r="V66" s="446">
        <f t="shared" si="46"/>
        <v>0</v>
      </c>
      <c r="W66" s="556"/>
      <c r="X66" s="666">
        <f t="shared" ref="X66:AE66" si="47">SUMIF($F$38:$F$49,"n",X38:X49)</f>
        <v>0</v>
      </c>
      <c r="Y66" s="667">
        <f t="shared" si="47"/>
        <v>0</v>
      </c>
      <c r="Z66" s="448">
        <f t="shared" si="47"/>
        <v>0</v>
      </c>
      <c r="AA66" s="446">
        <f t="shared" si="47"/>
        <v>0</v>
      </c>
      <c r="AB66" s="447">
        <f t="shared" si="47"/>
        <v>0</v>
      </c>
      <c r="AC66" s="448">
        <f t="shared" si="47"/>
        <v>0</v>
      </c>
      <c r="AD66" s="446">
        <f t="shared" si="47"/>
        <v>0</v>
      </c>
      <c r="AE66" s="447">
        <f t="shared" si="47"/>
        <v>0</v>
      </c>
    </row>
    <row r="67" spans="1:31" x14ac:dyDescent="0.25">
      <c r="A67" s="76" t="s">
        <v>216</v>
      </c>
      <c r="D67" s="449">
        <f>SUMIF($F$38:$F$49,"j",D38:D49)</f>
        <v>0</v>
      </c>
      <c r="E67" s="398">
        <f>SUMIF($F$38:$F$49,"j",E38:E49)</f>
        <v>0</v>
      </c>
      <c r="F67" s="72" t="s">
        <v>1</v>
      </c>
      <c r="G67" s="321">
        <f>SUMIF($F$38:$F$49,"j",G38:G49)</f>
        <v>0</v>
      </c>
      <c r="H67" s="321">
        <f>SUMIF($F$38:$F$49,"j",H38:H49)</f>
        <v>0</v>
      </c>
      <c r="I67" s="321">
        <f>SUMIF($F$38:$F$49,"j",I38:I49)</f>
        <v>0</v>
      </c>
      <c r="J67" s="427"/>
      <c r="K67" s="427"/>
      <c r="L67" s="427"/>
      <c r="M67" s="427"/>
      <c r="N67" s="402">
        <f t="shared" ref="N67:V67" si="48">SUMIF($F$38:$F$49,"j",N38:N49)</f>
        <v>0</v>
      </c>
      <c r="O67" s="687">
        <f t="shared" si="48"/>
        <v>0</v>
      </c>
      <c r="P67" s="450">
        <f t="shared" si="48"/>
        <v>0</v>
      </c>
      <c r="Q67" s="408">
        <f t="shared" si="48"/>
        <v>0</v>
      </c>
      <c r="R67" s="321">
        <f t="shared" si="48"/>
        <v>0</v>
      </c>
      <c r="S67" s="399">
        <f t="shared" si="48"/>
        <v>0</v>
      </c>
      <c r="T67" s="349">
        <f t="shared" si="48"/>
        <v>0</v>
      </c>
      <c r="U67" s="399">
        <f t="shared" si="48"/>
        <v>0</v>
      </c>
      <c r="V67" s="405">
        <f t="shared" si="48"/>
        <v>0</v>
      </c>
      <c r="W67" s="429"/>
      <c r="X67" s="664">
        <f t="shared" ref="X67:AE67" si="49">SUMIF($F$38:$F$49,"j",X38:X49)</f>
        <v>0</v>
      </c>
      <c r="Y67" s="663">
        <f t="shared" si="49"/>
        <v>0</v>
      </c>
      <c r="Z67" s="451">
        <f t="shared" si="49"/>
        <v>0</v>
      </c>
      <c r="AA67" s="452">
        <f t="shared" si="49"/>
        <v>0</v>
      </c>
      <c r="AB67" s="403">
        <f t="shared" si="49"/>
        <v>0</v>
      </c>
      <c r="AC67" s="451">
        <f t="shared" si="49"/>
        <v>0</v>
      </c>
      <c r="AD67" s="452">
        <f t="shared" si="49"/>
        <v>0</v>
      </c>
      <c r="AE67" s="403">
        <f t="shared" si="49"/>
        <v>0</v>
      </c>
    </row>
    <row r="68" spans="1:31" x14ac:dyDescent="0.25">
      <c r="A68" s="210" t="s">
        <v>214</v>
      </c>
      <c r="B68" s="4"/>
      <c r="C68" s="4"/>
      <c r="D68" s="212">
        <f>SUM(D53:D64)</f>
        <v>0</v>
      </c>
      <c r="E68" s="453">
        <f>SUM(E53:E64)</f>
        <v>0</v>
      </c>
      <c r="F68" s="454" t="s">
        <v>1</v>
      </c>
      <c r="G68" s="455">
        <f>SUM(G53:G64)</f>
        <v>0</v>
      </c>
      <c r="H68" s="456">
        <f>SUM(H53:H64)</f>
        <v>0</v>
      </c>
      <c r="I68" s="456">
        <f>SUM(I53:I64)</f>
        <v>0</v>
      </c>
      <c r="J68" s="455"/>
      <c r="K68" s="455"/>
      <c r="L68" s="455"/>
      <c r="M68" s="455"/>
      <c r="N68" s="462">
        <f t="shared" ref="N68:U68" si="50">SUM(N53:N64)</f>
        <v>0</v>
      </c>
      <c r="O68" s="688">
        <f t="shared" si="50"/>
        <v>0</v>
      </c>
      <c r="P68" s="458">
        <f t="shared" si="50"/>
        <v>0</v>
      </c>
      <c r="Q68" s="685">
        <f t="shared" si="50"/>
        <v>0</v>
      </c>
      <c r="R68" s="459">
        <f t="shared" si="50"/>
        <v>0</v>
      </c>
      <c r="S68" s="459">
        <f t="shared" si="50"/>
        <v>0</v>
      </c>
      <c r="T68" s="342">
        <f t="shared" si="50"/>
        <v>0</v>
      </c>
      <c r="U68" s="459">
        <f t="shared" si="50"/>
        <v>0</v>
      </c>
      <c r="V68" s="460"/>
      <c r="W68" s="460"/>
      <c r="X68" s="668">
        <f>SUM(X53:X64)</f>
        <v>0</v>
      </c>
      <c r="Y68" s="669"/>
      <c r="Z68" s="462">
        <f>SUM(Z53:Z64)</f>
        <v>0</v>
      </c>
      <c r="AA68" s="461"/>
      <c r="AB68" s="463">
        <f>SUM(AB53:AB64)</f>
        <v>0</v>
      </c>
      <c r="AC68" s="462">
        <f>SUM(AC53:AC64)</f>
        <v>0</v>
      </c>
      <c r="AD68" s="461"/>
      <c r="AE68" s="463">
        <f>SUM(AE53:AE64)</f>
        <v>0</v>
      </c>
    </row>
    <row r="69" spans="1:31" ht="15.75" thickBot="1" x14ac:dyDescent="0.3">
      <c r="A69" s="78" t="s">
        <v>3</v>
      </c>
      <c r="B69" s="464"/>
      <c r="C69" s="79"/>
      <c r="D69" s="465">
        <f>D66+D67+D68</f>
        <v>0</v>
      </c>
      <c r="E69" s="466">
        <f>E66+E67+E68</f>
        <v>0</v>
      </c>
      <c r="F69" s="467"/>
      <c r="G69" s="468"/>
      <c r="H69" s="469">
        <f>SUM(H66:H68)</f>
        <v>0</v>
      </c>
      <c r="I69" s="469">
        <f>SUM(I66:I68)</f>
        <v>0</v>
      </c>
      <c r="J69" s="468"/>
      <c r="K69" s="468"/>
      <c r="L69" s="468"/>
      <c r="M69" s="468"/>
      <c r="N69" s="683">
        <f t="shared" ref="N69:AE69" si="51">SUM(N66:N68)</f>
        <v>0</v>
      </c>
      <c r="O69" s="689">
        <f t="shared" si="51"/>
        <v>0</v>
      </c>
      <c r="P69" s="470">
        <f t="shared" si="51"/>
        <v>0</v>
      </c>
      <c r="Q69" s="683">
        <f t="shared" si="51"/>
        <v>0</v>
      </c>
      <c r="R69" s="472">
        <f t="shared" si="51"/>
        <v>0</v>
      </c>
      <c r="S69" s="472">
        <f t="shared" si="51"/>
        <v>0</v>
      </c>
      <c r="T69" s="471">
        <f t="shared" si="51"/>
        <v>0</v>
      </c>
      <c r="U69" s="472">
        <f t="shared" si="51"/>
        <v>0</v>
      </c>
      <c r="V69" s="475">
        <f t="shared" si="51"/>
        <v>0</v>
      </c>
      <c r="W69" s="557"/>
      <c r="X69" s="670">
        <f t="shared" si="51"/>
        <v>0</v>
      </c>
      <c r="Y69" s="671">
        <f t="shared" si="51"/>
        <v>0</v>
      </c>
      <c r="Z69" s="474">
        <f t="shared" si="51"/>
        <v>0</v>
      </c>
      <c r="AA69" s="475">
        <f t="shared" si="51"/>
        <v>0</v>
      </c>
      <c r="AB69" s="473">
        <f t="shared" si="51"/>
        <v>0</v>
      </c>
      <c r="AC69" s="474">
        <f t="shared" si="51"/>
        <v>0</v>
      </c>
      <c r="AD69" s="475">
        <f t="shared" si="51"/>
        <v>0</v>
      </c>
      <c r="AE69" s="473">
        <f t="shared" si="51"/>
        <v>0</v>
      </c>
    </row>
    <row r="70" spans="1:31" ht="16.5" x14ac:dyDescent="0.3">
      <c r="D70" s="476" t="s">
        <v>27</v>
      </c>
      <c r="E70" s="477" t="s">
        <v>154</v>
      </c>
      <c r="F70" s="476"/>
      <c r="G70" s="476"/>
      <c r="H70" s="478" t="s">
        <v>180</v>
      </c>
      <c r="I70" s="477" t="s">
        <v>155</v>
      </c>
      <c r="K70" s="478"/>
      <c r="L70" s="478"/>
      <c r="M70" s="478"/>
      <c r="N70" s="478"/>
      <c r="O70" s="478"/>
      <c r="P70" s="73" t="s">
        <v>396</v>
      </c>
      <c r="Q70" s="74"/>
      <c r="R70" s="74"/>
      <c r="S70" s="74"/>
      <c r="T70" s="74"/>
      <c r="U70" s="479">
        <f>CHOOSE(RIGHT(U$35,1),D69,W23,H69)</f>
        <v>0</v>
      </c>
      <c r="Z70" s="480"/>
      <c r="AA70" s="480"/>
      <c r="AB70" s="480"/>
      <c r="AC70" s="480"/>
      <c r="AD70" s="480"/>
    </row>
    <row r="71" spans="1:31" x14ac:dyDescent="0.25">
      <c r="P71" s="76" t="s">
        <v>392</v>
      </c>
      <c r="U71" s="481">
        <f>IF(U70=0,0,U69/U70)</f>
        <v>0</v>
      </c>
    </row>
    <row r="72" spans="1:31" ht="15.75" thickBot="1" x14ac:dyDescent="0.3">
      <c r="P72" s="78" t="s">
        <v>393</v>
      </c>
      <c r="Q72" s="79"/>
      <c r="R72" s="79"/>
      <c r="S72" s="79"/>
      <c r="T72" s="79"/>
      <c r="U72" s="89">
        <f>IF(D69=0,0,P69/D69)</f>
        <v>0</v>
      </c>
    </row>
  </sheetData>
  <sheetProtection algorithmName="SHA-512" hashValue="9MHdi7KfSvIvV0EQ+HC+9fk1x2PplzYTsMZ066xm7v4TeEo7E0lyXHp/9PF1ROmh95cyhM3lj99RlHhKj1/Ihg==" saltValue="+w7upT1q0b5mC3/C19Petg==" spinCount="100000" sheet="1" objects="1" scenarios="1" formatCells="0"/>
  <mergeCells count="11">
    <mergeCell ref="H28:K28"/>
    <mergeCell ref="H29:K29"/>
    <mergeCell ref="H30:K30"/>
    <mergeCell ref="H31:K31"/>
    <mergeCell ref="H32:K32"/>
    <mergeCell ref="V3:AD8"/>
    <mergeCell ref="L22:L26"/>
    <mergeCell ref="M22:M25"/>
    <mergeCell ref="N22:N25"/>
    <mergeCell ref="H27:K27"/>
    <mergeCell ref="H26:K26"/>
  </mergeCells>
  <conditionalFormatting sqref="E69 C10">
    <cfRule type="expression" dxfId="117" priority="77">
      <formula>ABS($C$10-$E$69)&gt;0.01</formula>
    </cfRule>
    <cfRule type="expression" dxfId="116" priority="80">
      <formula>ABS($C$10-$E$69)&lt;0.01</formula>
    </cfRule>
  </conditionalFormatting>
  <conditionalFormatting sqref="C14">
    <cfRule type="cellIs" dxfId="115" priority="73" operator="greaterThan">
      <formula>1.0001</formula>
    </cfRule>
  </conditionalFormatting>
  <conditionalFormatting sqref="G68 T68 J68:N68">
    <cfRule type="expression" dxfId="114" priority="74">
      <formula>G68&lt;-1</formula>
    </cfRule>
  </conditionalFormatting>
  <conditionalFormatting sqref="G68">
    <cfRule type="expression" dxfId="113" priority="79">
      <formula>AND($G$68&gt;$D$68*4,D68&gt;1)</formula>
    </cfRule>
  </conditionalFormatting>
  <conditionalFormatting sqref="D19:E19">
    <cfRule type="expression" dxfId="112" priority="72">
      <formula>$B$16="j"</formula>
    </cfRule>
  </conditionalFormatting>
  <conditionalFormatting sqref="C29:C30 W25:W26">
    <cfRule type="expression" dxfId="111" priority="75">
      <formula>C25&lt;-0.1</formula>
    </cfRule>
  </conditionalFormatting>
  <conditionalFormatting sqref="W23">
    <cfRule type="expression" dxfId="110" priority="71">
      <formula>$W$23&lt;-1</formula>
    </cfRule>
  </conditionalFormatting>
  <conditionalFormatting sqref="M68">
    <cfRule type="expression" dxfId="109" priority="82">
      <formula>AND($G$68&gt;$D$68*4,E68&gt;1)</formula>
    </cfRule>
  </conditionalFormatting>
  <conditionalFormatting sqref="K68:L68">
    <cfRule type="expression" dxfId="108" priority="83">
      <formula>AND($G$68&gt;$D$68*4,E68&gt;1)</formula>
    </cfRule>
  </conditionalFormatting>
  <conditionalFormatting sqref="J68">
    <cfRule type="expression" dxfId="107" priority="84">
      <formula>AND($G$68&gt;$D$68*4,E68&gt;1)</formula>
    </cfRule>
  </conditionalFormatting>
  <conditionalFormatting sqref="L28:L32">
    <cfRule type="duplicateValues" dxfId="106" priority="68"/>
  </conditionalFormatting>
  <conditionalFormatting sqref="H68">
    <cfRule type="expression" dxfId="105" priority="63">
      <formula>H68&lt;-1</formula>
    </cfRule>
  </conditionalFormatting>
  <conditionalFormatting sqref="H68">
    <cfRule type="expression" dxfId="104" priority="64">
      <formula>AND($G$68&gt;$D$68*4,E68&gt;1)</formula>
    </cfRule>
  </conditionalFormatting>
  <conditionalFormatting sqref="I69 C20">
    <cfRule type="expression" dxfId="103" priority="78">
      <formula>ABS($C$20-$I$69)&gt;=0.01</formula>
    </cfRule>
  </conditionalFormatting>
  <conditionalFormatting sqref="I68">
    <cfRule type="expression" dxfId="102" priority="60">
      <formula>I68&lt;-1</formula>
    </cfRule>
  </conditionalFormatting>
  <conditionalFormatting sqref="I68">
    <cfRule type="expression" dxfId="101" priority="61">
      <formula>AND($G$68&gt;$D$68*4,F68&gt;1)</formula>
    </cfRule>
  </conditionalFormatting>
  <conditionalFormatting sqref="H69 C26">
    <cfRule type="expression" dxfId="100" priority="58">
      <formula>ABS($C$26-$H$69)&gt;=0.01</formula>
    </cfRule>
  </conditionalFormatting>
  <conditionalFormatting sqref="F38:F49">
    <cfRule type="expression" dxfId="99" priority="6">
      <formula>AND(OR(B38="EEG-vol",B38="EEG-nvol"),F38="j")</formula>
    </cfRule>
    <cfRule type="expression" dxfId="98" priority="45">
      <formula>AND(F38="",OR(D38&lt;&gt;0,G38&lt;&gt;0,W38&lt;&gt;0))</formula>
    </cfRule>
  </conditionalFormatting>
  <conditionalFormatting sqref="G38:G49 R38:R49">
    <cfRule type="expression" dxfId="97" priority="42">
      <formula>OR(AND($D38&gt;0,ISBLANK($G38)),AND($W38&gt;0,ISBLANK($G38)))</formula>
    </cfRule>
  </conditionalFormatting>
  <conditionalFormatting sqref="L38:L49 L52:L64">
    <cfRule type="expression" dxfId="96" priority="40">
      <formula>OR(AND($D38&gt;0,ISERROR(MATCH($L38,$L$28:$L$32,0))),AND($W38&gt;0,ISERROR(MATCH($L38,$L$28:$L$32,0))))</formula>
    </cfRule>
  </conditionalFormatting>
  <conditionalFormatting sqref="E18">
    <cfRule type="expression" dxfId="95" priority="35">
      <formula>AND(Sperrung="j",CELL("Schutz",E18))</formula>
    </cfRule>
  </conditionalFormatting>
  <conditionalFormatting sqref="C25">
    <cfRule type="expression" dxfId="94" priority="34">
      <formula>$C$25&lt;$C$19-0.5</formula>
    </cfRule>
  </conditionalFormatting>
  <conditionalFormatting sqref="C24:C25">
    <cfRule type="expression" dxfId="93" priority="33">
      <formula>AND(Sperrung="j",CELL("Schutz",C24))</formula>
    </cfRule>
  </conditionalFormatting>
  <conditionalFormatting sqref="C38:C49">
    <cfRule type="expression" dxfId="92" priority="24">
      <formula>AND(AND(B38&lt;&gt;0,B38&lt;&gt;"ohne vermNE"),C38=0)</formula>
    </cfRule>
  </conditionalFormatting>
  <conditionalFormatting sqref="C38:C49">
    <cfRule type="expression" dxfId="91" priority="22">
      <formula>AND(C38&lt;&gt;0,MOD(C38,1)&lt;&gt;0)</formula>
    </cfRule>
    <cfRule type="expression" dxfId="90" priority="23">
      <formula>AND(C38&lt;&gt;0,NOT(ISNUMBER(C38)))</formula>
    </cfRule>
  </conditionalFormatting>
  <conditionalFormatting sqref="W30">
    <cfRule type="cellIs" dxfId="89" priority="9" operator="notEqual">
      <formula>0</formula>
    </cfRule>
  </conditionalFormatting>
  <conditionalFormatting sqref="W31">
    <cfRule type="expression" dxfId="88" priority="7">
      <formula>$W$30&lt;&gt;0</formula>
    </cfRule>
  </conditionalFormatting>
  <conditionalFormatting sqref="V17">
    <cfRule type="expression" dxfId="87" priority="5">
      <formula>V17&gt;0</formula>
    </cfRule>
  </conditionalFormatting>
  <conditionalFormatting sqref="W17">
    <cfRule type="expression" dxfId="86" priority="4">
      <formula>ABS(IF(U69&gt;0,W15/U69*U68,W15)-$W$17)&gt;1</formula>
    </cfRule>
  </conditionalFormatting>
  <dataValidations disablePrompts="1" count="8">
    <dataValidation type="custom" allowBlank="1" showInputMessage="1" showErrorMessage="1" error="Bitte Wert negativ eingeben!" sqref="C19 W22 C25" xr:uid="{00000000-0002-0000-0900-000000000000}">
      <formula1>C19&lt;=0</formula1>
    </dataValidation>
    <dataValidation type="list" allowBlank="1" showInputMessage="1" showErrorMessage="1" sqref="B16 F38:F52" xr:uid="{00000000-0002-0000-0900-000001000000}">
      <formula1>"j,n"</formula1>
    </dataValidation>
    <dataValidation type="decimal" operator="greaterThanOrEqual" allowBlank="1" showInputMessage="1" showErrorMessage="1" error="Die Rückspeisevergütung muss positiv oder 0 sein._x000a_" sqref="V13:W14" xr:uid="{00000000-0002-0000-0900-000002000000}">
      <formula1>0</formula1>
    </dataValidation>
    <dataValidation type="list" allowBlank="1" showInputMessage="1" showErrorMessage="1" sqref="C28" xr:uid="{00000000-0002-0000-0900-000003000000}">
      <formula1>"1,2"</formula1>
    </dataValidation>
    <dataValidation type="list" allowBlank="1" showInputMessage="1" showErrorMessage="1" sqref="B51:C52" xr:uid="{00000000-0002-0000-0900-000004000000}">
      <formula1>"EEG,KWKG,Sonstige"</formula1>
    </dataValidation>
    <dataValidation type="list" allowBlank="1" showInputMessage="1" showErrorMessage="1" sqref="L53:L64 L38:L49" xr:uid="{00000000-0002-0000-0900-000005000000}">
      <formula1>$L$28:$L$32</formula1>
    </dataValidation>
    <dataValidation type="list" allowBlank="1" showDropDown="1" showInputMessage="1" showErrorMessage="1" sqref="F53:F67" xr:uid="{00000000-0002-0000-0900-000006000000}">
      <formula1>"j,n"</formula1>
    </dataValidation>
    <dataValidation type="whole" allowBlank="1" showInputMessage="1" showErrorMessage="1" sqref="C38:C49" xr:uid="{00000000-0002-0000-0900-000007000000}">
      <formula1>1950</formula1>
      <formula2>2100</formula2>
    </dataValidation>
  </dataValidations>
  <printOptions horizontalCentered="1"/>
  <pageMargins left="0.39370078740157483" right="0.39370078740157483" top="0.39370078740157483" bottom="0.39370078740157483" header="0.51181102362204722" footer="0.51181102362204722"/>
  <pageSetup paperSize="9" scale="46" fitToWidth="2" orientation="landscape" r:id="rId1"/>
  <headerFooter alignWithMargins="0"/>
  <rowBreaks count="1" manualBreakCount="1">
    <brk id="33" max="29" man="1"/>
  </rowBreaks>
  <colBreaks count="1" manualBreakCount="1">
    <brk id="15" max="71" man="1"/>
  </colBreaks>
  <drawing r:id="rId2"/>
  <legacyDrawing r:id="rId3"/>
  <controls>
    <mc:AlternateContent xmlns:mc="http://schemas.openxmlformats.org/markup-compatibility/2006">
      <mc:Choice Requires="x14">
        <control shapeId="60460" r:id="rId4" name="CommandButton2">
          <controlPr defaultSize="0" autoLine="0" r:id="rId5">
            <anchor moveWithCells="1">
              <from>
                <xdr:col>0</xdr:col>
                <xdr:colOff>66675</xdr:colOff>
                <xdr:row>34</xdr:row>
                <xdr:rowOff>533400</xdr:rowOff>
              </from>
              <to>
                <xdr:col>0</xdr:col>
                <xdr:colOff>4457700</xdr:colOff>
                <xdr:row>34</xdr:row>
                <xdr:rowOff>962025</xdr:rowOff>
              </to>
            </anchor>
          </controlPr>
        </control>
      </mc:Choice>
      <mc:Fallback>
        <control shapeId="60460" r:id="rId4" name="CommandButton2"/>
      </mc:Fallback>
    </mc:AlternateContent>
    <mc:AlternateContent xmlns:mc="http://schemas.openxmlformats.org/markup-compatibility/2006">
      <mc:Choice Requires="x14">
        <control shapeId="60459" r:id="rId6" name="CommandButton1">
          <controlPr defaultSize="0" autoFill="0" autoLine="0" r:id="rId7">
            <anchor moveWithCells="1">
              <from>
                <xdr:col>0</xdr:col>
                <xdr:colOff>66675</xdr:colOff>
                <xdr:row>34</xdr:row>
                <xdr:rowOff>76200</xdr:rowOff>
              </from>
              <to>
                <xdr:col>0</xdr:col>
                <xdr:colOff>4457700</xdr:colOff>
                <xdr:row>34</xdr:row>
                <xdr:rowOff>504825</xdr:rowOff>
              </to>
            </anchor>
          </controlPr>
        </control>
      </mc:Choice>
      <mc:Fallback>
        <control shapeId="60459" r:id="rId6" name="CommandButton1"/>
      </mc:Fallback>
    </mc:AlternateContent>
  </controls>
  <tableParts count="2">
    <tablePart r:id="rId8"/>
    <tablePart r:id="rId9"/>
  </tableParts>
  <extLst>
    <ext xmlns:x14="http://schemas.microsoft.com/office/spreadsheetml/2009/9/main" uri="{78C0D931-6437-407d-A8EE-F0AAD7539E65}">
      <x14:conditionalFormattings>
        <x14:conditionalFormatting xmlns:xm="http://schemas.microsoft.com/office/excel/2006/main">
          <x14:cfRule type="expression" priority="3480" id="{053B8DAB-3549-40F6-9403-2A6B4A3D243A}">
            <xm:f>AND(J52&lt;&gt;K52,MATCH(B52,Listen!$A$1:$A$10,0)&gt;=3)</xm:f>
            <x14:dxf>
              <fill>
                <patternFill>
                  <bgColor rgb="FFFF0000"/>
                </patternFill>
              </fill>
            </x14:dxf>
          </x14:cfRule>
          <xm:sqref>K52</xm:sqref>
        </x14:conditionalFormatting>
        <x14:conditionalFormatting xmlns:xm="http://schemas.microsoft.com/office/excel/2006/main">
          <x14:cfRule type="expression" priority="3482" id="{4DC0E2E1-B6B1-4543-BBF4-23C262519279}">
            <xm:f>AND(J52&lt;&gt;IF(AND(F52&lt;&gt;"",OR(B52="EEG-vol",B52="Sonstige-vol"),OR(C52="&lt;= 2017",C52&lt;=2017),C52&gt;1900),MIN(1,MAX(0,1-(Allgemeines!$B$29-2017)/3)),0) +IF(AND(F52&lt;&gt;"",OR(B52="EEG-nvol",B52="KWKG",B52="Sonstige-nvol"),OR(C52="&lt;= 2022",C52&lt;=2022)),1,0),MATCH(B52,Listen!$A$1:$A$10,0)&gt;=3)</xm:f>
            <x14:dxf>
              <fill>
                <patternFill>
                  <bgColor rgb="FFFF0000"/>
                </patternFill>
              </fill>
            </x14:dxf>
          </x14:cfRule>
          <xm:sqref>J52</xm:sqref>
        </x14:conditionalFormatting>
        <x14:conditionalFormatting xmlns:xm="http://schemas.microsoft.com/office/excel/2006/main">
          <x14:cfRule type="expression" priority="3500" id="{9B111739-855B-4232-A063-49784D38CDF6}">
            <xm:f>OR($B52=Listen!$A$2,$B52=Listen!$A$1)</xm:f>
            <x14:dxf>
              <fill>
                <patternFill>
                  <bgColor theme="1"/>
                </patternFill>
              </fill>
            </x14:dxf>
          </x14:cfRule>
          <x14:cfRule type="expression" priority="3501" id="{88946E49-30F0-4107-B7A9-ED3DF53FBF8D}">
            <xm:f>IFERROR(MATCH(C52,OFFSET(Listen!#REF!,MATCH(B52,Listen!$A$1:$A$10,0)-1,0,1,2),0),0)=0</xm:f>
            <x14:dxf>
              <fill>
                <patternFill>
                  <bgColor rgb="FFFF0000"/>
                </patternFill>
              </fill>
            </x14:dxf>
          </x14:cfRule>
          <xm:sqref>C52</xm:sqref>
        </x14:conditionalFormatting>
        <x14:conditionalFormatting xmlns:xm="http://schemas.microsoft.com/office/excel/2006/main">
          <x14:cfRule type="expression" priority="26" id="{66BE326F-A1FB-4E91-8F1D-526F6EF724E8}">
            <xm:f>OR($B53=Listen!$A$2,$B53=Listen!$A$1)</xm:f>
            <x14:dxf>
              <fill>
                <patternFill>
                  <bgColor theme="1"/>
                </patternFill>
              </fill>
            </x14:dxf>
          </x14:cfRule>
          <x14:cfRule type="expression" priority="27" id="{730BA5FB-3FA1-4A49-808D-C255A0FF5264}">
            <xm:f>IFERROR(MATCH(C53,OFFSET(Listen!$B$1:C$1,MATCH(B53,Listen!$A$1:$A$10,0)-1,0,1,2),0),0)=0</xm:f>
            <x14:dxf>
              <fill>
                <patternFill>
                  <bgColor rgb="FFFF0000"/>
                </patternFill>
              </fill>
            </x14:dxf>
          </x14:cfRule>
          <xm:sqref>C53:C64</xm:sqref>
        </x14:conditionalFormatting>
        <x14:conditionalFormatting xmlns:xm="http://schemas.microsoft.com/office/excel/2006/main">
          <x14:cfRule type="expression" priority="25" id="{AB50DD81-61DB-4369-962D-D2E161230316}">
            <xm:f>OR(AND(B38&lt;&gt;0,IFERROR(VLOOKUP(B38,Listen!$A$1:$A$10,1,FALSE),0)=0),AND(B38=0,D38&lt;&gt;0),AND(B38=0,W38&lt;&gt;0))</xm:f>
            <x14:dxf>
              <fill>
                <patternFill>
                  <bgColor rgb="FFFF0000"/>
                </patternFill>
              </fill>
            </x14:dxf>
          </x14:cfRule>
          <xm:sqref>B38:B49</xm:sqref>
        </x14:conditionalFormatting>
        <x14:conditionalFormatting xmlns:xm="http://schemas.microsoft.com/office/excel/2006/main">
          <x14:cfRule type="expression" priority="21" id="{C2CBFE7F-6C5E-425D-A126-BBC109884315}">
            <xm:f>OR($B38=Listen!$A$1,$B38=Listen!$A$2)</xm:f>
            <x14:dxf>
              <fill>
                <patternFill>
                  <bgColor theme="1"/>
                </patternFill>
              </fill>
            </x14:dxf>
          </x14:cfRule>
          <xm:sqref>C38:C49</xm:sqref>
        </x14:conditionalFormatting>
        <x14:conditionalFormatting xmlns:xm="http://schemas.microsoft.com/office/excel/2006/main">
          <x14:cfRule type="expression" priority="20" id="{B44FD5BE-AEE9-4804-8C14-A7D5B4A62214}">
            <xm:f>OR(AND(J38&lt;&gt;K38,MATCH(B38,Listen!$A$1:$A$10,0)&gt;=3),AND(K38&lt;&gt;$K$21,B38=Listen!$A$2))</xm:f>
            <x14:dxf>
              <fill>
                <patternFill>
                  <bgColor rgb="FFFF0000"/>
                </patternFill>
              </fill>
            </x14:dxf>
          </x14:cfRule>
          <xm:sqref>K38:K49</xm:sqref>
        </x14:conditionalFormatting>
        <x14:conditionalFormatting xmlns:xm="http://schemas.microsoft.com/office/excel/2006/main">
          <x14:cfRule type="expression" priority="14" id="{74BBBD53-B0A0-4A8B-8286-866776C93FF1}">
            <xm:f>OR(AND(J54&lt;&gt;K54,MATCH(B54,Listen!$A$1:$A$10,0)&gt;=3),AND(K54&lt;&gt;$K$21,B54=Listen!$A$2))</xm:f>
            <x14:dxf>
              <fill>
                <patternFill>
                  <bgColor rgb="FFFF0000"/>
                </patternFill>
              </fill>
            </x14:dxf>
          </x14:cfRule>
          <xm:sqref>K54:K64</xm:sqref>
        </x14:conditionalFormatting>
        <x14:conditionalFormatting xmlns:xm="http://schemas.microsoft.com/office/excel/2006/main">
          <x14:cfRule type="expression" priority="13" id="{916E3827-9422-4567-B9A2-0900BC31BCB6}">
            <xm:f>OR(AND(J53&lt;&gt;K53,MATCH(B53,Listen!$A$1:$A$10,0)&gt;=3),AND(K53&lt;&gt;$K$21,B53=Listen!$A$2))</xm:f>
            <x14:dxf>
              <fill>
                <patternFill>
                  <bgColor rgb="FFFF0000"/>
                </patternFill>
              </fill>
            </x14:dxf>
          </x14:cfRule>
          <xm:sqref>K53</xm:sqref>
        </x14:conditionalFormatting>
        <x14:conditionalFormatting xmlns:xm="http://schemas.microsoft.com/office/excel/2006/main">
          <x14:cfRule type="expression" priority="10" id="{F88D6970-E680-4742-BFA4-8AF885A25173}">
            <xm:f>OR(AND(B53&lt;&gt;0,IFERROR(VLOOKUP(B53,Listen!$A$1:$A$10,1,FALSE),0)=0),AND(B53=0,D53&lt;&gt;0),AND(B53=0,W53&lt;&gt;0))</xm:f>
            <x14:dxf>
              <fill>
                <patternFill>
                  <bgColor rgb="FFFF0000"/>
                </patternFill>
              </fill>
            </x14:dxf>
          </x14:cfRule>
          <xm:sqref>B53:B64</xm:sqref>
        </x14:conditionalFormatting>
        <x14:conditionalFormatting xmlns:xm="http://schemas.microsoft.com/office/excel/2006/main">
          <x14:cfRule type="expression" priority="1" id="{9BC3F6F1-88A5-4063-B563-8555FB0D558E}">
            <xm:f>AND(J38&lt;&gt;IF(AND(F38&lt;&gt;"",B38="Rückspeisung eN",Allgemeines!$B$29&lt;=2028),$J$21,0) +IF(AND(F38&lt;&gt;"",OR(B38="EEG-nvol",B38="KWKG",B38="Sonstige-nvol"),AND(OR(C38="&lt;= 2022",C38&lt;=2022),Allgemeines!$B$29&lt;=2025)),1,0) +IF(AND(F38&lt;&gt;"",OR(B38="EEG-nvol",B38="KWKG",B38="Sonstige-nvol"),AND(OR(C38="&lt;= 2022",C38&lt;=2022),Allgemeines!$B$29&gt;=2026)),MIN(1,MAX(0,1-(Allgemeines!$B$29-2025)/4)),0) +IF(AND(F38&lt;&gt;"",OR(B38="EEG-vol",B38="Sonstige-vol"),OR(C38="&lt;= 2017",C38&lt;=2017),C38&gt;1900),MIN(1,MAX(0,1-(Allgemeines!$B$29-2017)/3)),0),B38&lt;&gt;"Rückspeisung fN")</xm:f>
            <x14:dxf>
              <fill>
                <patternFill>
                  <bgColor rgb="FFFF0000"/>
                </patternFill>
              </fill>
            </x14:dxf>
          </x14:cfRule>
          <xm:sqref>J38:J49 J53:J64</xm:sqref>
        </x14:conditionalFormatting>
      </x14:conditionalFormattings>
    </ext>
    <ext xmlns:x14="http://schemas.microsoft.com/office/spreadsheetml/2009/9/main" uri="{CCE6A557-97BC-4b89-ADB6-D9C93CAAB3DF}">
      <x14:dataValidations xmlns:xm="http://schemas.microsoft.com/office/excel/2006/main" disablePrompts="1" count="3">
        <x14:dataValidation type="list" allowBlank="1" showInputMessage="1" showErrorMessage="1" xr:uid="{00000000-0002-0000-0900-000008000000}">
          <x14:formula1>
            <xm:f>Listen!$A$12:$A$14</xm:f>
          </x14:formula1>
          <xm:sqref>U35</xm:sqref>
        </x14:dataValidation>
        <x14:dataValidation type="list" allowBlank="1" showInputMessage="1" showErrorMessage="1" xr:uid="{00000000-0002-0000-0900-000009000000}">
          <x14:formula1>
            <xm:f>Listen!$A$1:$A$9</xm:f>
          </x14:formula1>
          <xm:sqref>B38:B49 B53:B64</xm:sqref>
        </x14:dataValidation>
        <x14:dataValidation type="list" allowBlank="1" showInputMessage="1" showErrorMessage="1" xr:uid="{00000000-0002-0000-0900-00000A000000}">
          <x14:formula1>
            <xm:f>OFFSET(Listen!$B$1:$C$1,MATCH(B53,Listen!$A$1:$A$7,0)-1,0,1,2)</xm:f>
          </x14:formula1>
          <xm:sqref>C53:C64</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11"/>
  <dimension ref="A1:K49"/>
  <sheetViews>
    <sheetView workbookViewId="0"/>
  </sheetViews>
  <sheetFormatPr baseColWidth="10" defaultColWidth="11.42578125" defaultRowHeight="15" x14ac:dyDescent="0.25"/>
  <cols>
    <col min="1" max="1" width="32.140625" style="27" customWidth="1"/>
    <col min="2" max="2" width="17.28515625" style="27" customWidth="1"/>
    <col min="3" max="3" width="18.140625" style="27" customWidth="1"/>
    <col min="4" max="4" width="17.85546875" style="27" customWidth="1"/>
    <col min="5" max="6" width="18.42578125" style="27" customWidth="1"/>
    <col min="7" max="7" width="18.28515625" style="27" customWidth="1"/>
    <col min="8" max="8" width="17" style="27" customWidth="1"/>
    <col min="9" max="9" width="16.42578125" style="27" customWidth="1"/>
    <col min="10" max="16384" width="11.42578125" style="27"/>
  </cols>
  <sheetData>
    <row r="1" spans="1:11" x14ac:dyDescent="0.25">
      <c r="A1" s="4" t="str">
        <f>AF!A1</f>
        <v>XY GmbH</v>
      </c>
      <c r="B1" s="4" t="str">
        <f>+IF(AF!B1="","",AF!B1)</f>
        <v/>
      </c>
      <c r="C1" s="4"/>
      <c r="D1" s="4"/>
      <c r="E1" s="4"/>
      <c r="F1" s="4"/>
      <c r="G1" s="4"/>
      <c r="H1" s="4"/>
      <c r="I1" s="4"/>
    </row>
    <row r="2" spans="1:11" x14ac:dyDescent="0.25">
      <c r="A2" s="182"/>
    </row>
    <row r="3" spans="1:11" x14ac:dyDescent="0.25">
      <c r="A3" s="41" t="s">
        <v>21</v>
      </c>
    </row>
    <row r="4" spans="1:11" x14ac:dyDescent="0.25">
      <c r="C4" s="655"/>
      <c r="D4" s="654"/>
      <c r="E4" s="66"/>
    </row>
    <row r="5" spans="1:11" x14ac:dyDescent="0.25">
      <c r="A5" s="265" t="str">
        <f>CONCATENATE("Zusammenfassung für das Jahr ", Allgemeines!B29)</f>
        <v>Zusammenfassung für das Jahr 2027</v>
      </c>
      <c r="B5" s="305"/>
      <c r="D5" s="654"/>
      <c r="E5" s="66"/>
      <c r="F5" s="66"/>
    </row>
    <row r="6" spans="1:11" x14ac:dyDescent="0.25">
      <c r="A6" s="41"/>
    </row>
    <row r="7" spans="1:11" ht="45" x14ac:dyDescent="0.25">
      <c r="A7" s="484"/>
      <c r="B7" s="485"/>
      <c r="C7" s="486" t="s">
        <v>248</v>
      </c>
      <c r="D7" s="563" t="s">
        <v>249</v>
      </c>
      <c r="E7" s="489" t="s">
        <v>432</v>
      </c>
      <c r="F7" s="487" t="s">
        <v>244</v>
      </c>
      <c r="G7" s="488" t="s">
        <v>245</v>
      </c>
      <c r="H7" s="488" t="s">
        <v>246</v>
      </c>
      <c r="I7" s="489" t="s">
        <v>236</v>
      </c>
    </row>
    <row r="8" spans="1:11" x14ac:dyDescent="0.25">
      <c r="A8" s="315"/>
      <c r="B8" s="4"/>
      <c r="C8" s="490" t="s">
        <v>10</v>
      </c>
      <c r="D8" s="493" t="s">
        <v>10</v>
      </c>
      <c r="E8" s="491" t="s">
        <v>10</v>
      </c>
      <c r="F8" s="492" t="s">
        <v>10</v>
      </c>
      <c r="G8" s="493" t="s">
        <v>10</v>
      </c>
      <c r="H8" s="493" t="s">
        <v>10</v>
      </c>
      <c r="I8" s="491" t="s">
        <v>10</v>
      </c>
      <c r="K8" s="170"/>
    </row>
    <row r="9" spans="1:11" x14ac:dyDescent="0.25">
      <c r="A9" s="306" t="s">
        <v>281</v>
      </c>
      <c r="C9" s="494">
        <f>'vermNE HS'!$X$69</f>
        <v>0</v>
      </c>
      <c r="D9" s="564">
        <f>'vermNE HS'!$Y$69</f>
        <v>0</v>
      </c>
      <c r="E9" s="559">
        <f>-'vermNE HS'!W29</f>
        <v>0</v>
      </c>
      <c r="F9" s="495">
        <f>C9+D9+E9</f>
        <v>0</v>
      </c>
      <c r="G9" s="496">
        <f>-'vermNE HS'!$V$15</f>
        <v>0</v>
      </c>
      <c r="H9" s="496">
        <f>-'vermNE HS'!$W$15</f>
        <v>0</v>
      </c>
      <c r="I9" s="497">
        <f>SUM(F9:H9)</f>
        <v>0</v>
      </c>
    </row>
    <row r="10" spans="1:11" x14ac:dyDescent="0.25">
      <c r="A10" s="306" t="s">
        <v>296</v>
      </c>
      <c r="C10" s="494">
        <f>'vermNE HM'!$X$69</f>
        <v>0</v>
      </c>
      <c r="D10" s="496">
        <f>'vermNE HM'!$Y$69</f>
        <v>0</v>
      </c>
      <c r="E10" s="559">
        <f>-'vermNE HM'!W29</f>
        <v>0</v>
      </c>
      <c r="F10" s="495">
        <f t="shared" ref="F10:F13" si="0">C10+D10+E10</f>
        <v>0</v>
      </c>
      <c r="G10" s="494">
        <f>-'vermNE HM'!$V$15</f>
        <v>0</v>
      </c>
      <c r="H10" s="496">
        <f>-'vermNE HM'!$W$15</f>
        <v>0</v>
      </c>
      <c r="I10" s="497">
        <f t="shared" ref="I10:I13" si="1">SUM(F10:H10)</f>
        <v>0</v>
      </c>
    </row>
    <row r="11" spans="1:11" x14ac:dyDescent="0.25">
      <c r="A11" s="306" t="s">
        <v>11</v>
      </c>
      <c r="C11" s="498">
        <f>'vermNE MS'!$X$69</f>
        <v>0</v>
      </c>
      <c r="D11" s="70">
        <f>'vermNE MS'!$Y$69</f>
        <v>0</v>
      </c>
      <c r="E11" s="559">
        <f>-'vermNE MS'!W29</f>
        <v>0</v>
      </c>
      <c r="F11" s="495">
        <f t="shared" si="0"/>
        <v>0</v>
      </c>
      <c r="G11" s="70">
        <f>-'vermNE MS'!$V$15</f>
        <v>0</v>
      </c>
      <c r="H11" s="70">
        <f>-'vermNE MS'!$W$15</f>
        <v>0</v>
      </c>
      <c r="I11" s="497">
        <f t="shared" si="1"/>
        <v>0</v>
      </c>
    </row>
    <row r="12" spans="1:11" x14ac:dyDescent="0.25">
      <c r="A12" s="306" t="s">
        <v>297</v>
      </c>
      <c r="C12" s="498">
        <f>'vermNE MN'!$X$69</f>
        <v>0</v>
      </c>
      <c r="D12" s="70">
        <f>'vermNE MN'!$Y$69</f>
        <v>0</v>
      </c>
      <c r="E12" s="559">
        <f>-'vermNE MN'!W29</f>
        <v>0</v>
      </c>
      <c r="F12" s="495">
        <f t="shared" si="0"/>
        <v>0</v>
      </c>
      <c r="G12" s="70">
        <f>-'vermNE MN'!$V$15</f>
        <v>0</v>
      </c>
      <c r="H12" s="70">
        <f>-'vermNE MN'!$W$15</f>
        <v>0</v>
      </c>
      <c r="I12" s="497">
        <f t="shared" si="1"/>
        <v>0</v>
      </c>
    </row>
    <row r="13" spans="1:11" x14ac:dyDescent="0.25">
      <c r="A13" s="315" t="s">
        <v>12</v>
      </c>
      <c r="B13" s="4"/>
      <c r="C13" s="309">
        <f>'vermNE NS'!$X$69</f>
        <v>0</v>
      </c>
      <c r="D13" s="457">
        <f>'vermNE NS'!$Y$69</f>
        <v>0</v>
      </c>
      <c r="E13" s="559">
        <f>-'vermNE NS'!W29</f>
        <v>0</v>
      </c>
      <c r="F13" s="562">
        <f t="shared" si="0"/>
        <v>0</v>
      </c>
      <c r="G13" s="70">
        <f>-'vermNE NS'!$V$15</f>
        <v>0</v>
      </c>
      <c r="H13" s="70">
        <f>-'vermNE NS'!$W$15</f>
        <v>0</v>
      </c>
      <c r="I13" s="497">
        <f t="shared" si="1"/>
        <v>0</v>
      </c>
    </row>
    <row r="14" spans="1:11" x14ac:dyDescent="0.25">
      <c r="A14" s="315" t="s">
        <v>5</v>
      </c>
      <c r="B14" s="4"/>
      <c r="C14" s="309">
        <f t="shared" ref="C14:D14" si="2">SUM(C9:C13)</f>
        <v>0</v>
      </c>
      <c r="D14" s="502">
        <f t="shared" si="2"/>
        <v>0</v>
      </c>
      <c r="E14" s="552">
        <f>SUM(E9:E13)</f>
        <v>0</v>
      </c>
      <c r="F14" s="501">
        <f>SUM(F9:F13)</f>
        <v>0</v>
      </c>
      <c r="G14" s="502">
        <f>SUM(G9:G13)</f>
        <v>0</v>
      </c>
      <c r="H14" s="502">
        <f>SUM(H9:H13)</f>
        <v>0</v>
      </c>
      <c r="I14" s="504">
        <f>SUM(I9:I13)</f>
        <v>0</v>
      </c>
    </row>
    <row r="15" spans="1:11" x14ac:dyDescent="0.25">
      <c r="C15" s="70"/>
      <c r="D15" s="70"/>
      <c r="F15" s="70"/>
      <c r="G15" s="551"/>
      <c r="H15" s="503">
        <f>G14+H14</f>
        <v>0</v>
      </c>
    </row>
    <row r="16" spans="1:11" x14ac:dyDescent="0.25">
      <c r="B16" s="70"/>
      <c r="C16" s="70"/>
      <c r="D16" s="70"/>
    </row>
    <row r="17" spans="1:9" ht="75" x14ac:dyDescent="0.25">
      <c r="A17" s="484"/>
      <c r="B17" s="313"/>
      <c r="C17" s="486" t="str">
        <f>C7</f>
        <v>vermNE
lt. Tool
Arbeit</v>
      </c>
      <c r="D17" s="563" t="str">
        <f>D7</f>
        <v>vermNE
lt. Tool
Leistung</v>
      </c>
      <c r="E17" s="489" t="s">
        <v>432</v>
      </c>
      <c r="F17" s="487" t="s">
        <v>237</v>
      </c>
      <c r="G17" s="505" t="s">
        <v>306</v>
      </c>
      <c r="H17" s="487" t="s">
        <v>307</v>
      </c>
      <c r="I17" s="489" t="s">
        <v>283</v>
      </c>
    </row>
    <row r="18" spans="1:9" x14ac:dyDescent="0.25">
      <c r="A18" s="315"/>
      <c r="B18" s="316"/>
      <c r="C18" s="490" t="s">
        <v>10</v>
      </c>
      <c r="D18" s="493" t="s">
        <v>10</v>
      </c>
      <c r="E18" s="491" t="s">
        <v>10</v>
      </c>
      <c r="F18" s="491" t="s">
        <v>10</v>
      </c>
      <c r="G18" s="491" t="s">
        <v>10</v>
      </c>
      <c r="H18" s="491" t="s">
        <v>10</v>
      </c>
      <c r="I18" s="491" t="s">
        <v>10</v>
      </c>
    </row>
    <row r="19" spans="1:9" x14ac:dyDescent="0.25">
      <c r="A19" s="306" t="s">
        <v>317</v>
      </c>
      <c r="B19" s="69" t="s">
        <v>380</v>
      </c>
      <c r="C19" s="506">
        <f t="array" ref="C19">SUMIFS('vermNE HS'!X$38:X$49,'vermNE HS'!$B$38:$B$49,Zusammenfassung!$A19,'vermNE HS'!$C$38:$C$49,Zusammenfassung!$B19)+SUM(IF('vermNE HS'!$B$53:$B$64=Zusammenfassung!A19,IF('vermNE HS'!$C$53:$C$64=Zusammenfassung!B19,'vermNE HS'!X$53:X$64,0),0))
+SUMIFS('vermNE HM'!X$38:X$49,'vermNE HM'!$B$38:$B$49,Zusammenfassung!$A19,'vermNE HM'!$C$38:$C$49,Zusammenfassung!$B19)+SUM(IF('vermNE HM'!$B$53:$B$64=Zusammenfassung!A19,IF('vermNE HM'!$C$53:$C$64=Zusammenfassung!B19,'vermNE HM'!X$53:X$64,0),0))
+SUMIFS('vermNE MS'!X$38:X$49,'vermNE MS'!$B$38:$B$49,Zusammenfassung!$A19,'vermNE MS'!$C$38:$C$49,Zusammenfassung!$B19)+SUM(IF('vermNE MS'!$B$53:$B$64=Zusammenfassung!A19,IF('vermNE MS'!$C$53:$C$64=Zusammenfassung!B19,'vermNE MS'!X$53:X$64,0),0))
+SUMIFS('vermNE MN'!X$38:X$49,'vermNE MN'!$B$38:$B$49,Zusammenfassung!$A19,'vermNE MN'!$C$38:$C$49,Zusammenfassung!$B19)+SUM(IF('vermNE MN'!$B$53:$B$64=A19,IF('vermNE MN'!$C$53:$C$64=Zusammenfassung!B19,'vermNE MN'!X$53:X$64,0),0))
+SUMIFS('vermNE NS'!X$38:X$49,'vermNE NS'!$B$38:$B$49,Zusammenfassung!$A19,'vermNE NS'!$C$38:$C$49,Zusammenfassung!$B19)+SUM(IF('vermNE NS'!$B$53:$B$64=A19,IF('vermNE NS'!$C$53:$C$64=Zusammenfassung!B19,'vermNE NS'!X$53:X$64,0),0))</f>
        <v>0</v>
      </c>
      <c r="D19" s="514">
        <f>SUMIFS('vermNE HS'!Y$38:Y$49,'vermNE HS'!$B$38:$B$49,Zusammenfassung!$A19,'vermNE HS'!$C$38:$C$49,Zusammenfassung!$B19)
+SUMIFS('vermNE HM'!Y$38:Y$49,'vermNE HM'!$B$38:$B$49,Zusammenfassung!$A19,'vermNE HM'!$C$38:$C$49,Zusammenfassung!$B19)
+SUMIFS('vermNE MS'!Y$38:Y$49,'vermNE MS'!$B$38:$B$49,Zusammenfassung!$A19,'vermNE MS'!$C$38:$C$49,Zusammenfassung!$B19)
+SUMIFS('vermNE MN'!Y$38:Y$49,'vermNE MN'!$B$38:$B$49,Zusammenfassung!$A19,'vermNE MN'!$C$38:$C$49,Zusammenfassung!$B19)
+SUMIFS('vermNE NS'!Y$38:Y$49,'vermNE NS'!$B$38:$B$49,Zusammenfassung!$A19,'vermNE NS'!$C$38:$C$49,Zusammenfassung!$B19)</f>
        <v>0</v>
      </c>
      <c r="E19" s="507">
        <f>-SUMIFS('vermNE HS'!W$38:W$49,'vermNE HS'!$B$38:$B$49,Zusammenfassung!$A19,'vermNE HS'!$C$38:$C$49,Zusammenfassung!$B19)
-SUMIFS('vermNE HM'!W$38:W$49,'vermNE HM'!$B$38:$B$49,Zusammenfassung!$A19,'vermNE HM'!$C$38:$C$49,Zusammenfassung!$B19)
-SUMIFS('vermNE MS'!W$38:W$49,'vermNE MS'!$B$38:$B$49,Zusammenfassung!$A19,'vermNE MS'!$C$38:$C$49,Zusammenfassung!$B19)
-SUMIFS('vermNE MN'!W$38:W$49,'vermNE MN'!$B$38:$B$49,Zusammenfassung!$A19,'vermNE MN'!$C$38:$C$49,Zusammenfassung!$B19)
-SUMIFS('vermNE NS'!W$38:W$49,'vermNE NS'!$B$38:$B$49,Zusammenfassung!$A19,'vermNE NS'!$C$38:$C$49,Zusammenfassung!$B19)</f>
        <v>0</v>
      </c>
      <c r="F19" s="91">
        <f>C19+D19+E19</f>
        <v>0</v>
      </c>
      <c r="G19" s="118"/>
      <c r="H19" s="118"/>
      <c r="I19" s="118"/>
    </row>
    <row r="20" spans="1:9" x14ac:dyDescent="0.25">
      <c r="A20" s="27" t="s">
        <v>317</v>
      </c>
      <c r="B20" s="69" t="s">
        <v>381</v>
      </c>
      <c r="C20" s="498">
        <f t="array" ref="C20">SUMIFS('vermNE HS'!X$38:X$49,'vermNE HS'!$B$38:$B$49,Zusammenfassung!$A20,'vermNE HS'!$C$38:$C$49,Zusammenfassung!$B20)+SUM(IF('vermNE HS'!$B$53:$B$64=Zusammenfassung!A20,IF('vermNE HS'!$C$53:$C$64=Zusammenfassung!B20,'vermNE HS'!X$53:X$64,0),0))
+SUMIFS('vermNE HM'!X$38:X$49,'vermNE HM'!$B$38:$B$49,Zusammenfassung!$A20,'vermNE HM'!$C$38:$C$49,Zusammenfassung!$B20)+SUM(IF('vermNE HM'!$B$53:$B$64=Zusammenfassung!A20,IF('vermNE HM'!$C$53:$C$64=Zusammenfassung!B20,'vermNE HM'!X$53:X$64,0),0))
+SUMIFS('vermNE MS'!X$38:X$49,'vermNE MS'!$B$38:$B$49,Zusammenfassung!$A20,'vermNE MS'!$C$38:$C$49,Zusammenfassung!$B20)+SUM(IF('vermNE MS'!$B$53:$B$64=Zusammenfassung!A20,IF('vermNE MS'!$C$53:$C$64=Zusammenfassung!B20,'vermNE MS'!X$53:X$64,0),0))
+SUMIFS('vermNE MN'!X$38:X$49,'vermNE MN'!$B$38:$B$49,Zusammenfassung!$A20,'vermNE MN'!$C$38:$C$49,Zusammenfassung!$B20)+SUM(IF('vermNE MN'!$B$53:$B$64=A20,IF('vermNE MN'!$C$53:$C$64=Zusammenfassung!B20,'vermNE MN'!X$53:X$64,0),0))
+SUMIFS('vermNE NS'!X$38:X$49,'vermNE NS'!$B$38:$B$49,Zusammenfassung!$A20,'vermNE NS'!$C$38:$C$49,Zusammenfassung!$B20)+SUM(IF('vermNE NS'!$B$53:$B$64=A20,IF('vermNE NS'!$C$53:$C$64=Zusammenfassung!B20,'vermNE NS'!X$53:X$64,0),0))</f>
        <v>0</v>
      </c>
      <c r="D20" s="70">
        <f>SUMIFS('vermNE HS'!Y$38:Y$49,'vermNE HS'!$B$38:$B$49,Zusammenfassung!$A20,'vermNE HS'!$C$38:$C$49,Zusammenfassung!$B20)
+SUMIFS('vermNE HM'!Y$38:Y$49,'vermNE HM'!$B$38:$B$49,Zusammenfassung!$A20,'vermNE HM'!$C$38:$C$49,Zusammenfassung!$B20)
+SUMIFS('vermNE MS'!Y$38:Y$49,'vermNE MS'!$B$38:$B$49,Zusammenfassung!$A20,'vermNE MS'!$C$38:$C$49,Zusammenfassung!$B20)
+SUMIFS('vermNE MN'!Y$38:Y$49,'vermNE MN'!$B$38:$B$49,Zusammenfassung!$A20,'vermNE MN'!$C$38:$C$49,Zusammenfassung!$B20)
+SUMIFS('vermNE NS'!Y$38:Y$49,'vermNE NS'!$B$38:$B$49,Zusammenfassung!$A20,'vermNE NS'!$C$38:$C$49,Zusammenfassung!$B20)</f>
        <v>0</v>
      </c>
      <c r="E20" s="91">
        <f>-SUMIFS('vermNE HS'!W$38:W$49,'vermNE HS'!$B$38:$B$49,Zusammenfassung!$A20,'vermNE HS'!$C$38:$C$49,Zusammenfassung!$B20)
-SUMIFS('vermNE HM'!W$38:W$49,'vermNE HM'!$B$38:$B$49,Zusammenfassung!$A20,'vermNE HM'!$C$38:$C$49,Zusammenfassung!$B20)
-SUMIFS('vermNE MS'!W$38:W$49,'vermNE MS'!$B$38:$B$49,Zusammenfassung!$A20,'vermNE MS'!$C$38:$C$49,Zusammenfassung!$B20)
-SUMIFS('vermNE MN'!W$38:W$49,'vermNE MN'!$B$38:$B$49,Zusammenfassung!$A20,'vermNE MN'!$C$38:$C$49,Zusammenfassung!$B20)
-SUMIFS('vermNE NS'!W$38:W$49,'vermNE NS'!$B$38:$B$49,Zusammenfassung!$A20,'vermNE NS'!$C$38:$C$49,Zusammenfassung!$B20)</f>
        <v>0</v>
      </c>
      <c r="F20" s="70">
        <f>C20+D20+E20</f>
        <v>0</v>
      </c>
      <c r="G20" s="508"/>
      <c r="H20" s="142"/>
      <c r="I20" s="142"/>
    </row>
    <row r="21" spans="1:9" x14ac:dyDescent="0.25">
      <c r="A21" s="509" t="s">
        <v>316</v>
      </c>
      <c r="B21" s="510" t="s">
        <v>378</v>
      </c>
      <c r="C21" s="498">
        <f t="array" ref="C21">SUMIFS('vermNE HS'!X$38:X$49,'vermNE HS'!$B$38:$B$49,Zusammenfassung!$A21,'vermNE HS'!$C$38:$C$49,Zusammenfassung!$B21)+SUM(IF('vermNE HS'!$B$53:$B$64=Zusammenfassung!A21,IF('vermNE HS'!$C$53:$C$64=Zusammenfassung!B21,'vermNE HS'!X$53:X$64,0),0))
+SUMIFS('vermNE HM'!X$38:X$49,'vermNE HM'!$B$38:$B$49,Zusammenfassung!$A21,'vermNE HM'!$C$38:$C$49,Zusammenfassung!$B21)+SUM(IF('vermNE HM'!$B$53:$B$64=Zusammenfassung!A21,IF('vermNE HM'!$C$53:$C$64=Zusammenfassung!B21,'vermNE HM'!X$53:X$64,0),0))
+SUMIFS('vermNE MS'!X$38:X$49,'vermNE MS'!$B$38:$B$49,Zusammenfassung!$A21,'vermNE MS'!$C$38:$C$49,Zusammenfassung!$B21)+SUM(IF('vermNE MS'!$B$53:$B$64=Zusammenfassung!A21,IF('vermNE MS'!$C$53:$C$64=Zusammenfassung!B21,'vermNE MS'!X$53:X$64,0),0))
+SUMIFS('vermNE MN'!X$38:X$49,'vermNE MN'!$B$38:$B$49,Zusammenfassung!$A21,'vermNE MN'!$C$38:$C$49,Zusammenfassung!$B21)+SUM(IF('vermNE MN'!$B$53:$B$64=A21,IF('vermNE MN'!$C$53:$C$64=Zusammenfassung!B21,'vermNE MN'!X$53:X$64,0),0))
+SUMIFS('vermNE NS'!X$38:X$49,'vermNE NS'!$B$38:$B$49,Zusammenfassung!$A21,'vermNE NS'!$C$38:$C$49,Zusammenfassung!$B21)+SUM(IF('vermNE NS'!$B$53:$B$64=A21,IF('vermNE NS'!$C$53:$C$64=Zusammenfassung!B21,'vermNE NS'!X$53:X$64,0),0))</f>
        <v>0</v>
      </c>
      <c r="D21" s="70">
        <f>SUMIFS('vermNE HS'!Y$38:Y$49,'vermNE HS'!$B$38:$B$49,Zusammenfassung!$A21,'vermNE HS'!$C$38:$C$49,Zusammenfassung!$B21)
+SUMIFS('vermNE HM'!Y$38:Y$49,'vermNE HM'!$B$38:$B$49,Zusammenfassung!$A21,'vermNE HM'!$C$38:$C$49,Zusammenfassung!$B21)
+SUMIFS('vermNE MS'!Y$38:Y$49,'vermNE MS'!$B$38:$B$49,Zusammenfassung!$A21,'vermNE MS'!$C$38:$C$49,Zusammenfassung!$B21)
+SUMIFS('vermNE MN'!Y$38:Y$49,'vermNE MN'!$B$38:$B$49,Zusammenfassung!$A21,'vermNE MN'!$C$38:$C$49,Zusammenfassung!$B21)
+SUMIFS('vermNE NS'!Y$38:Y$49,'vermNE NS'!$B$38:$B$49,Zusammenfassung!$A21,'vermNE NS'!$C$38:$C$49,Zusammenfassung!$B21)</f>
        <v>0</v>
      </c>
      <c r="E21" s="91">
        <f>-SUMIFS('vermNE HS'!W$38:W$49,'vermNE HS'!$B$38:$B$49,Zusammenfassung!$A21,'vermNE HS'!$C$38:$C$49,Zusammenfassung!$B21)
-SUMIFS('vermNE HM'!W$38:W$49,'vermNE HM'!$B$38:$B$49,Zusammenfassung!$A21,'vermNE HM'!$C$38:$C$49,Zusammenfassung!$B21)
-SUMIFS('vermNE MS'!W$38:W$49,'vermNE MS'!$B$38:$B$49,Zusammenfassung!$A21,'vermNE MS'!$C$38:$C$49,Zusammenfassung!$B21)
-SUMIFS('vermNE MN'!W$38:W$49,'vermNE MN'!$B$38:$B$49,Zusammenfassung!$A21,'vermNE MN'!$C$38:$C$49,Zusammenfassung!$B21)
-SUMIFS('vermNE NS'!W$38:W$49,'vermNE NS'!$B$38:$B$49,Zusammenfassung!$A21,'vermNE NS'!$C$38:$C$49,Zusammenfassung!$B21)</f>
        <v>0</v>
      </c>
      <c r="F21" s="70">
        <f t="shared" ref="F21:F22" si="3">C21+D21+E21</f>
        <v>0</v>
      </c>
      <c r="G21" s="118"/>
      <c r="H21" s="118"/>
      <c r="I21" s="118"/>
    </row>
    <row r="22" spans="1:9" x14ac:dyDescent="0.25">
      <c r="A22" s="511" t="s">
        <v>316</v>
      </c>
      <c r="B22" s="264" t="s">
        <v>379</v>
      </c>
      <c r="C22" s="309">
        <f t="array" ref="C22">SUMIFS('vermNE HS'!X$38:X$49,'vermNE HS'!$B$38:$B$49,Zusammenfassung!$A22,'vermNE HS'!$C$38:$C$49,Zusammenfassung!$B22)+SUM(IF('vermNE HS'!$B$53:$B$64=Zusammenfassung!A22,IF('vermNE HS'!$C$53:$C$64=Zusammenfassung!B22,'vermNE HS'!X$53:X$64,0),0))
+SUMIFS('vermNE HM'!X$38:X$49,'vermNE HM'!$B$38:$B$49,Zusammenfassung!$A22,'vermNE HM'!$C$38:$C$49,Zusammenfassung!$B22)+SUM(IF('vermNE HM'!$B$53:$B$64=Zusammenfassung!A22,IF('vermNE HM'!$C$53:$C$64=Zusammenfassung!B22,'vermNE HM'!X$53:X$64,0),0))
+SUMIFS('vermNE MS'!X$38:X$49,'vermNE MS'!$B$38:$B$49,Zusammenfassung!$A22,'vermNE MS'!$C$38:$C$49,Zusammenfassung!$B22)+SUM(IF('vermNE MS'!$B$53:$B$64=Zusammenfassung!A22,IF('vermNE MS'!$C$53:$C$64=Zusammenfassung!B22,'vermNE MS'!X$53:X$64,0),0))
+SUMIFS('vermNE MN'!X$38:X$49,'vermNE MN'!$B$38:$B$49,Zusammenfassung!$A22,'vermNE MN'!$C$38:$C$49,Zusammenfassung!$B22)+SUM(IF('vermNE MN'!$B$53:$B$64=A22,IF('vermNE MN'!$C$53:$C$64=Zusammenfassung!B22,'vermNE MN'!X$53:X$64,0),0))
+SUMIFS('vermNE NS'!X$38:X$49,'vermNE NS'!$B$38:$B$49,Zusammenfassung!$A22,'vermNE NS'!$C$38:$C$49,Zusammenfassung!$B22)+SUM(IF('vermNE NS'!$B$53:$B$64=A22,IF('vermNE NS'!$C$53:$C$64=Zusammenfassung!B22,'vermNE NS'!X$53:X$64,0),0))</f>
        <v>0</v>
      </c>
      <c r="D22" s="457">
        <f>SUMIFS('vermNE HS'!Y$38:Y$49,'vermNE HS'!$B$38:$B$49,Zusammenfassung!$A22,'vermNE HS'!$C$38:$C$49,Zusammenfassung!$B22)
+SUMIFS('vermNE HM'!Y$38:Y$49,'vermNE HM'!$B$38:$B$49,Zusammenfassung!$A22,'vermNE HM'!$C$38:$C$49,Zusammenfassung!$B22)
+SUMIFS('vermNE MS'!Y$38:Y$49,'vermNE MS'!$B$38:$B$49,Zusammenfassung!$A22,'vermNE MS'!$C$38:$C$49,Zusammenfassung!$B22)
+SUMIFS('vermNE MN'!Y$38:Y$49,'vermNE MN'!$B$38:$B$49,Zusammenfassung!$A22,'vermNE MN'!$C$38:$C$49,Zusammenfassung!$B22)
+SUMIFS('vermNE NS'!Y$38:Y$49,'vermNE NS'!$B$38:$B$49,Zusammenfassung!$A22,'vermNE NS'!$C$38:$C$49,Zusammenfassung!$B22)</f>
        <v>0</v>
      </c>
      <c r="E22" s="310">
        <f>-SUMIFS('vermNE HS'!W$38:W$49,'vermNE HS'!$B$38:$B$49,Zusammenfassung!$A22,'vermNE HS'!$C$38:$C$49,Zusammenfassung!$B22)
-SUMIFS('vermNE HM'!W$38:W$49,'vermNE HM'!$B$38:$B$49,Zusammenfassung!$A22,'vermNE HM'!$C$38:$C$49,Zusammenfassung!$B22)
-SUMIFS('vermNE MS'!W$38:W$49,'vermNE MS'!$B$38:$B$49,Zusammenfassung!$A22,'vermNE MS'!$C$38:$C$49,Zusammenfassung!$B22)
-SUMIFS('vermNE MN'!W$38:W$49,'vermNE MN'!$B$38:$B$49,Zusammenfassung!$A22,'vermNE MN'!$C$38:$C$49,Zusammenfassung!$B22)
-SUMIFS('vermNE NS'!W$38:W$49,'vermNE NS'!$B$38:$B$49,Zusammenfassung!$A22,'vermNE NS'!$C$38:$C$49,Zusammenfassung!$B22)</f>
        <v>0</v>
      </c>
      <c r="F22" s="457">
        <f t="shared" si="3"/>
        <v>0</v>
      </c>
      <c r="G22" s="142"/>
      <c r="H22" s="142"/>
      <c r="I22" s="142"/>
    </row>
    <row r="23" spans="1:9" x14ac:dyDescent="0.25">
      <c r="A23" s="306" t="s">
        <v>399</v>
      </c>
      <c r="C23" s="498">
        <f>SUM(C19:C22)</f>
        <v>0</v>
      </c>
      <c r="D23" s="70">
        <f t="shared" ref="D23:E23" si="4">SUM(D19:D22)</f>
        <v>0</v>
      </c>
      <c r="E23" s="91">
        <f t="shared" si="4"/>
        <v>0</v>
      </c>
      <c r="F23" s="507">
        <f>SUM(F19:F22)</f>
        <v>0</v>
      </c>
      <c r="G23" s="108"/>
      <c r="H23" s="91">
        <f t="shared" ref="H23:H31" si="5">IF(G23="",0,MIN(F23:G23))</f>
        <v>0</v>
      </c>
      <c r="I23" s="91">
        <f t="shared" ref="I23:I31" si="6">F23-H23</f>
        <v>0</v>
      </c>
    </row>
    <row r="24" spans="1:9" x14ac:dyDescent="0.25">
      <c r="A24" s="306" t="s">
        <v>16</v>
      </c>
      <c r="B24" s="69" t="s">
        <v>380</v>
      </c>
      <c r="C24" s="498">
        <f t="array" ref="C24">SUMIFS('vermNE HS'!X$38:X$49,'vermNE HS'!$B$38:$B$49,Zusammenfassung!$A24,'vermNE HS'!$C$38:$C$49,Zusammenfassung!$B24)+SUM(IF('vermNE HS'!$B$53:$B$64=Zusammenfassung!A24,IF('vermNE HS'!$C$53:$C$64=Zusammenfassung!B24,'vermNE HS'!X$53:X$64,0),0))
+SUMIFS('vermNE HM'!X$38:X$49,'vermNE HM'!$B$38:$B$49,Zusammenfassung!$A24,'vermNE HM'!$C$38:$C$49,Zusammenfassung!$B24)+SUM(IF('vermNE HM'!$B$53:$B$64=Zusammenfassung!A24,IF('vermNE HM'!$C$53:$C$64=Zusammenfassung!B24,'vermNE HM'!X$53:X$64,0),0))
+SUMIFS('vermNE MS'!X$38:X$49,'vermNE MS'!$B$38:$B$49,Zusammenfassung!$A24,'vermNE MS'!$C$38:$C$49,Zusammenfassung!$B24)+SUM(IF('vermNE MS'!$B$53:$B$64=Zusammenfassung!A24,IF('vermNE MS'!$C$53:$C$64=Zusammenfassung!B24,'vermNE MS'!X$53:X$64,0),0))
+SUMIFS('vermNE MN'!X$38:X$49,'vermNE MN'!$B$38:$B$49,Zusammenfassung!$A24,'vermNE MN'!$C$38:$C$49,Zusammenfassung!$B24)+SUM(IF('vermNE MN'!$B$53:$B$64=A24,IF('vermNE MN'!$C$53:$C$64=Zusammenfassung!B24,'vermNE MN'!X$53:X$64,0),0))
+SUMIFS('vermNE NS'!X$38:X$49,'vermNE NS'!$B$38:$B$49,Zusammenfassung!$A24,'vermNE NS'!$C$38:$C$49,Zusammenfassung!$B24)+SUM(IF('vermNE NS'!$B$53:$B$64=A24,IF('vermNE NS'!$C$53:$C$64=Zusammenfassung!B24,'vermNE NS'!X$53:X$64,0),0))</f>
        <v>0</v>
      </c>
      <c r="D24" s="70">
        <f>SUMIFS('vermNE HS'!Y$38:Y$49,'vermNE HS'!$B$38:$B$49,Zusammenfassung!$A24,'vermNE HS'!$C$38:$C$49,Zusammenfassung!$B24)
+SUMIFS('vermNE HM'!Y$38:Y$49,'vermNE HM'!$B$38:$B$49,Zusammenfassung!$A24,'vermNE HM'!$C$38:$C$49,Zusammenfassung!$B24)
+SUMIFS('vermNE MS'!Y$38:Y$49,'vermNE MS'!$B$38:$B$49,Zusammenfassung!$A24,'vermNE MS'!$C$38:$C$49,Zusammenfassung!$B24)
+SUMIFS('vermNE MN'!Y$38:Y$49,'vermNE MN'!$B$38:$B$49,Zusammenfassung!$A24,'vermNE MN'!$C$38:$C$49,Zusammenfassung!$B24)
+SUMIFS('vermNE NS'!Y$38:Y$49,'vermNE NS'!$B$38:$B$49,Zusammenfassung!$A24,'vermNE NS'!$C$38:$C$49,Zusammenfassung!$B24)</f>
        <v>0</v>
      </c>
      <c r="E24" s="91">
        <f>-SUMIF('vermNE HS'!$B$38:$B$49,Zusammenfassung!$A24,'vermNE HS'!$W$38:$W$49)
-SUMIF('vermNE HM'!$B$38:$B$49,Zusammenfassung!$A24,'vermNE HM'!$W$38:$W$49)
-SUMIF('vermNE MS'!$B$38:$B$49,Zusammenfassung!$A24,'vermNE MS'!$W$38:$W$49)
-SUMIF('vermNE MN'!$B$38:$B$49,Zusammenfassung!$A24,'vermNE MN'!$W$38:$W$49)
-SUMIF('vermNE NS'!$B$38:$B$49,Zusammenfassung!$A24,'vermNE NS'!$W$38:$W$49)</f>
        <v>0</v>
      </c>
      <c r="F24" s="91">
        <f t="shared" ref="F24:F31" si="7">C24+D24+E24</f>
        <v>0</v>
      </c>
      <c r="G24" s="108"/>
      <c r="H24" s="91">
        <f t="shared" si="5"/>
        <v>0</v>
      </c>
      <c r="I24" s="91">
        <f t="shared" si="6"/>
        <v>0</v>
      </c>
    </row>
    <row r="25" spans="1:9" x14ac:dyDescent="0.25">
      <c r="A25" s="306" t="s">
        <v>16</v>
      </c>
      <c r="B25" s="69" t="s">
        <v>381</v>
      </c>
      <c r="C25" s="498">
        <f t="array" ref="C25">SUMIFS('vermNE HS'!X$38:X$49,'vermNE HS'!$B$38:$B$49,Zusammenfassung!$A25,'vermNE HS'!$C$38:$C$49,Zusammenfassung!$B25)+SUM(IF('vermNE HS'!$B$53:$B$64=Zusammenfassung!A25,IF('vermNE HS'!$C$53:$C$64=Zusammenfassung!B25,'vermNE HS'!X$53:X$64,0),0))
+SUMIFS('vermNE HM'!X$38:X$49,'vermNE HM'!$B$38:$B$49,Zusammenfassung!$A25,'vermNE HM'!$C$38:$C$49,Zusammenfassung!$B25)+SUM(IF('vermNE HM'!$B$53:$B$64=Zusammenfassung!A25,IF('vermNE HM'!$C$53:$C$64=Zusammenfassung!B25,'vermNE HM'!X$53:X$64,0),0))
+SUMIFS('vermNE MS'!X$38:X$49,'vermNE MS'!$B$38:$B$49,Zusammenfassung!$A25,'vermNE MS'!$C$38:$C$49,Zusammenfassung!$B25)+SUM(IF('vermNE MS'!$B$53:$B$64=Zusammenfassung!A25,IF('vermNE MS'!$C$53:$C$64=Zusammenfassung!B25,'vermNE MS'!X$53:X$64,0),0))
+SUMIFS('vermNE MN'!X$38:X$49,'vermNE MN'!$B$38:$B$49,Zusammenfassung!$A25,'vermNE MN'!$C$38:$C$49,Zusammenfassung!$B25)+SUM(IF('vermNE MN'!$B$53:$B$64=A25,IF('vermNE MN'!$C$53:$C$64=Zusammenfassung!B25,'vermNE MN'!X$53:X$64,0),0))
+SUMIFS('vermNE NS'!X$38:X$49,'vermNE NS'!$B$38:$B$49,Zusammenfassung!$A25,'vermNE NS'!$C$38:$C$49,Zusammenfassung!$B25)+SUM(IF('vermNE NS'!$B$53:$B$64=A25,IF('vermNE NS'!$C$53:$C$64=Zusammenfassung!B25,'vermNE NS'!X$53:X$64,0),0))</f>
        <v>0</v>
      </c>
      <c r="D25" s="70">
        <f>SUMIFS('vermNE HS'!Y$38:Y$49,'vermNE HS'!$B$38:$B$49,Zusammenfassung!$A25,'vermNE HS'!$C$38:$C$49,Zusammenfassung!$B25)
+SUMIFS('vermNE HM'!Y$38:Y$49,'vermNE HM'!$B$38:$B$49,Zusammenfassung!$A25,'vermNE HM'!$C$38:$C$49,Zusammenfassung!$B25)
+SUMIFS('vermNE MS'!Y$38:Y$49,'vermNE MS'!$B$38:$B$49,Zusammenfassung!$A25,'vermNE MS'!$C$38:$C$49,Zusammenfassung!$B25)
+SUMIFS('vermNE MN'!Y$38:Y$49,'vermNE MN'!$B$38:$B$49,Zusammenfassung!$A25,'vermNE MN'!$C$38:$C$49,Zusammenfassung!$B25)
+SUMIFS('vermNE NS'!Y$38:Y$49,'vermNE NS'!$B$38:$B$49,Zusammenfassung!$A25,'vermNE NS'!$C$38:$C$49,Zusammenfassung!$B25)</f>
        <v>0</v>
      </c>
      <c r="E25" s="91">
        <f>-SUMIF('vermNE HS'!$B$38:$B$49,Zusammenfassung!$A25,'vermNE HS'!$W$38:$W$49)
-SUMIF('vermNE HM'!$B$38:$B$49,Zusammenfassung!$A25,'vermNE HM'!$W$38:$W$49)
-SUMIF('vermNE MS'!$B$38:$B$49,Zusammenfassung!$A25,'vermNE MS'!$W$38:$W$49)
-SUMIF('vermNE MN'!$B$38:$B$49,Zusammenfassung!$A25,'vermNE MN'!$W$38:$W$49)
-SUMIF('vermNE NS'!$B$38:$B$49,Zusammenfassung!$A25,'vermNE NS'!$W$38:$W$49)</f>
        <v>0</v>
      </c>
      <c r="F25" s="91">
        <f t="shared" si="7"/>
        <v>0</v>
      </c>
      <c r="G25" s="108"/>
      <c r="H25" s="91">
        <f t="shared" ref="H25" si="8">IF(G25="",0,MIN(F25:G25))</f>
        <v>0</v>
      </c>
      <c r="I25" s="91">
        <f t="shared" ref="I25" si="9">F25-H25</f>
        <v>0</v>
      </c>
    </row>
    <row r="26" spans="1:9" x14ac:dyDescent="0.25">
      <c r="A26" s="306" t="s">
        <v>323</v>
      </c>
      <c r="B26" s="69" t="s">
        <v>380</v>
      </c>
      <c r="C26" s="498">
        <f t="array" ref="C26">SUMIFS('vermNE HS'!X$38:X$49,'vermNE HS'!$B$38:$B$49,Zusammenfassung!$A26,'vermNE HS'!$C$38:$C$49,Zusammenfassung!$B26)+SUM(IF('vermNE HS'!$B$53:$B$64=Zusammenfassung!A26,IF('vermNE HS'!$C$53:$C$64=Zusammenfassung!B26,'vermNE HS'!X$53:X$64,0),0))
+SUMIFS('vermNE HM'!X$38:X$49,'vermNE HM'!$B$38:$B$49,Zusammenfassung!$A26,'vermNE HM'!$C$38:$C$49,Zusammenfassung!$B26)+SUM(IF('vermNE HM'!$B$53:$B$64=Zusammenfassung!A26,IF('vermNE HM'!$C$53:$C$64=Zusammenfassung!B26,'vermNE HM'!X$53:X$64,0),0))
+SUMIFS('vermNE MS'!X$38:X$49,'vermNE MS'!$B$38:$B$49,Zusammenfassung!$A26,'vermNE MS'!$C$38:$C$49,Zusammenfassung!$B26)+SUM(IF('vermNE MS'!$B$53:$B$64=Zusammenfassung!A26,IF('vermNE MS'!$C$53:$C$64=Zusammenfassung!B26,'vermNE MS'!X$53:X$64,0),0))
+SUMIFS('vermNE MN'!X$38:X$49,'vermNE MN'!$B$38:$B$49,Zusammenfassung!$A26,'vermNE MN'!$C$38:$C$49,Zusammenfassung!$B26)+SUM(IF('vermNE MN'!$B$53:$B$64=A26,IF('vermNE MN'!$C$53:$C$64=Zusammenfassung!B26,'vermNE MN'!X$53:X$64,0),0))
+SUMIFS('vermNE NS'!X$38:X$49,'vermNE NS'!$B$38:$B$49,Zusammenfassung!$A26,'vermNE NS'!$C$38:$C$49,Zusammenfassung!$B26)+SUM(IF('vermNE NS'!$B$53:$B$64=A26,IF('vermNE NS'!$C$53:$C$64=Zusammenfassung!B26,'vermNE NS'!X$53:X$64,0),0))</f>
        <v>0</v>
      </c>
      <c r="D26" s="70">
        <f>SUMIFS('vermNE HS'!Y$38:Y$49,'vermNE HS'!$B$38:$B$49,Zusammenfassung!$A26,'vermNE HS'!$C$38:$C$49,Zusammenfassung!$B26)
+SUMIFS('vermNE HM'!Y$38:Y$49,'vermNE HM'!$B$38:$B$49,Zusammenfassung!$A26,'vermNE HM'!$C$38:$C$49,Zusammenfassung!$B26)
+SUMIFS('vermNE MS'!Y$38:Y$49,'vermNE MS'!$B$38:$B$49,Zusammenfassung!$A26,'vermNE MS'!$C$38:$C$49,Zusammenfassung!$B26)
+SUMIFS('vermNE MN'!Y$38:Y$49,'vermNE MN'!$B$38:$B$49,Zusammenfassung!$A26,'vermNE MN'!$C$38:$C$49,Zusammenfassung!$B26)
+SUMIFS('vermNE NS'!Y$38:Y$49,'vermNE NS'!$B$38:$B$49,Zusammenfassung!$A26,'vermNE NS'!$C$38:$C$49,Zusammenfassung!$B26)</f>
        <v>0</v>
      </c>
      <c r="E26" s="91">
        <f>-SUMIF('vermNE HS'!$B$38:$B$49,Zusammenfassung!$A26,'vermNE HS'!$W$38:$W$49)
-SUMIF('vermNE HM'!$B$38:$B$49,Zusammenfassung!$A26,'vermNE HM'!$W$38:$W$49)
-SUMIF('vermNE MS'!$B$38:$B$49,Zusammenfassung!$A26,'vermNE MS'!$W$38:$W$49)
-SUMIF('vermNE MN'!$B$38:$B$49,Zusammenfassung!$A26,'vermNE MN'!$W$38:$W$49)
-SUMIF('vermNE NS'!$B$38:$B$49,Zusammenfassung!$A26,'vermNE NS'!$W$38:$W$49)</f>
        <v>0</v>
      </c>
      <c r="F26" s="91">
        <f t="shared" si="7"/>
        <v>0</v>
      </c>
      <c r="G26" s="108"/>
      <c r="H26" s="91">
        <f t="shared" si="5"/>
        <v>0</v>
      </c>
      <c r="I26" s="91">
        <f t="shared" si="6"/>
        <v>0</v>
      </c>
    </row>
    <row r="27" spans="1:9" x14ac:dyDescent="0.25">
      <c r="A27" s="306" t="s">
        <v>323</v>
      </c>
      <c r="B27" s="69" t="s">
        <v>381</v>
      </c>
      <c r="C27" s="498">
        <f t="array" ref="C27">SUMIFS('vermNE HS'!X$38:X$49,'vermNE HS'!$B$38:$B$49,Zusammenfassung!$A27,'vermNE HS'!$C$38:$C$49,Zusammenfassung!$B27)+SUM(IF('vermNE HS'!$B$53:$B$64=Zusammenfassung!A27,IF('vermNE HS'!$C$53:$C$64=Zusammenfassung!B27,'vermNE HS'!X$53:X$64,0),0))
+SUMIFS('vermNE HM'!X$38:X$49,'vermNE HM'!$B$38:$B$49,Zusammenfassung!$A27,'vermNE HM'!$C$38:$C$49,Zusammenfassung!$B27)+SUM(IF('vermNE HM'!$B$53:$B$64=Zusammenfassung!A27,IF('vermNE HM'!$C$53:$C$64=Zusammenfassung!B27,'vermNE HM'!X$53:X$64,0),0))
+SUMIFS('vermNE MS'!X$38:X$49,'vermNE MS'!$B$38:$B$49,Zusammenfassung!$A27,'vermNE MS'!$C$38:$C$49,Zusammenfassung!$B27)+SUM(IF('vermNE MS'!$B$53:$B$64=Zusammenfassung!A27,IF('vermNE MS'!$C$53:$C$64=Zusammenfassung!B27,'vermNE MS'!X$53:X$64,0),0))
+SUMIFS('vermNE MN'!X$38:X$49,'vermNE MN'!$B$38:$B$49,Zusammenfassung!$A27,'vermNE MN'!$C$38:$C$49,Zusammenfassung!$B27)+SUM(IF('vermNE MN'!$B$53:$B$64=A27,IF('vermNE MN'!$C$53:$C$64=Zusammenfassung!B27,'vermNE MN'!X$53:X$64,0),0))
+SUMIFS('vermNE NS'!X$38:X$49,'vermNE NS'!$B$38:$B$49,Zusammenfassung!$A27,'vermNE NS'!$C$38:$C$49,Zusammenfassung!$B27)+SUM(IF('vermNE NS'!$B$53:$B$64=A27,IF('vermNE NS'!$C$53:$C$64=Zusammenfassung!B27,'vermNE NS'!X$53:X$64,0),0))</f>
        <v>0</v>
      </c>
      <c r="D27" s="70">
        <f>SUMIFS('vermNE HS'!Y$38:Y$49,'vermNE HS'!$B$38:$B$49,Zusammenfassung!$A27,'vermNE HS'!$C$38:$C$49,Zusammenfassung!$B27)
+SUMIFS('vermNE HM'!Y$38:Y$49,'vermNE HM'!$B$38:$B$49,Zusammenfassung!$A27,'vermNE HM'!$C$38:$C$49,Zusammenfassung!$B27)
+SUMIFS('vermNE MS'!Y$38:Y$49,'vermNE MS'!$B$38:$B$49,Zusammenfassung!$A27,'vermNE MS'!$C$38:$C$49,Zusammenfassung!$B27)
+SUMIFS('vermNE MN'!Y$38:Y$49,'vermNE MN'!$B$38:$B$49,Zusammenfassung!$A27,'vermNE MN'!$C$38:$C$49,Zusammenfassung!$B27)
+SUMIFS('vermNE NS'!Y$38:Y$49,'vermNE NS'!$B$38:$B$49,Zusammenfassung!$A27,'vermNE NS'!$C$38:$C$49,Zusammenfassung!$B27)</f>
        <v>0</v>
      </c>
      <c r="E27" s="91">
        <f>-SUMIF('vermNE HS'!$B$38:$B$49,Zusammenfassung!$A27,'vermNE HS'!$W$38:$W$49)
-SUMIF('vermNE HM'!$B$38:$B$49,Zusammenfassung!$A27,'vermNE HM'!$W$38:$W$49)
-SUMIF('vermNE MS'!$B$38:$B$49,Zusammenfassung!$A27,'vermNE MS'!$W$38:$W$49)
-SUMIF('vermNE MN'!$B$38:$B$49,Zusammenfassung!$A27,'vermNE MN'!$W$38:$W$49)
-SUMIF('vermNE NS'!$B$38:$B$49,Zusammenfassung!$A27,'vermNE NS'!$W$38:$W$49)</f>
        <v>0</v>
      </c>
      <c r="F27" s="91">
        <f t="shared" si="7"/>
        <v>0</v>
      </c>
      <c r="G27" s="108"/>
      <c r="H27" s="91">
        <f t="shared" si="5"/>
        <v>0</v>
      </c>
      <c r="I27" s="91">
        <f t="shared" si="6"/>
        <v>0</v>
      </c>
    </row>
    <row r="28" spans="1:9" x14ac:dyDescent="0.25">
      <c r="A28" s="306" t="s">
        <v>322</v>
      </c>
      <c r="B28" s="69" t="s">
        <v>378</v>
      </c>
      <c r="C28" s="498">
        <f t="array" ref="C28">SUMIFS('vermNE HS'!X$38:X$49,'vermNE HS'!$B$38:$B$49,Zusammenfassung!$A28,'vermNE HS'!$C$38:$C$49,Zusammenfassung!$B28)+SUM(IF('vermNE HS'!$B$53:$B$64=Zusammenfassung!A28,IF('vermNE HS'!$C$53:$C$64=Zusammenfassung!B28,'vermNE HS'!X$53:X$64,0),0))
+SUMIFS('vermNE HM'!X$38:X$49,'vermNE HM'!$B$38:$B$49,Zusammenfassung!$A28,'vermNE HM'!$C$38:$C$49,Zusammenfassung!$B28)+SUM(IF('vermNE HM'!$B$53:$B$64=Zusammenfassung!A28,IF('vermNE HM'!$C$53:$C$64=Zusammenfassung!B28,'vermNE HM'!X$53:X$64,0),0))
+SUMIFS('vermNE MS'!X$38:X$49,'vermNE MS'!$B$38:$B$49,Zusammenfassung!$A28,'vermNE MS'!$C$38:$C$49,Zusammenfassung!$B28)+SUM(IF('vermNE MS'!$B$53:$B$64=Zusammenfassung!A28,IF('vermNE MS'!$C$53:$C$64=Zusammenfassung!B28,'vermNE MS'!X$53:X$64,0),0))
+SUMIFS('vermNE MN'!X$38:X$49,'vermNE MN'!$B$38:$B$49,Zusammenfassung!$A28,'vermNE MN'!$C$38:$C$49,Zusammenfassung!$B28)+SUM(IF('vermNE MN'!$B$53:$B$64=A28,IF('vermNE MN'!$C$53:$C$64=Zusammenfassung!B28,'vermNE MN'!X$53:X$64,0),0))
+SUMIFS('vermNE NS'!X$38:X$49,'vermNE NS'!$B$38:$B$49,Zusammenfassung!$A28,'vermNE NS'!$C$38:$C$49,Zusammenfassung!$B28)+SUM(IF('vermNE NS'!$B$53:$B$64=A28,IF('vermNE NS'!$C$53:$C$64=Zusammenfassung!B28,'vermNE NS'!X$53:X$64,0),0))</f>
        <v>0</v>
      </c>
      <c r="D28" s="70">
        <f>SUMIFS('vermNE HS'!Y$38:Y$49,'vermNE HS'!$B$38:$B$49,Zusammenfassung!$A28,'vermNE HS'!$C$38:$C$49,Zusammenfassung!$B28)
+SUMIFS('vermNE HM'!Y$38:Y$49,'vermNE HM'!$B$38:$B$49,Zusammenfassung!$A28,'vermNE HM'!$C$38:$C$49,Zusammenfassung!$B28)
+SUMIFS('vermNE MS'!Y$38:Y$49,'vermNE MS'!$B$38:$B$49,Zusammenfassung!$A28,'vermNE MS'!$C$38:$C$49,Zusammenfassung!$B28)
+SUMIFS('vermNE MN'!Y$38:Y$49,'vermNE MN'!$B$38:$B$49,Zusammenfassung!$A28,'vermNE MN'!$C$38:$C$49,Zusammenfassung!$B28)
+SUMIFS('vermNE NS'!Y$38:Y$49,'vermNE NS'!$B$38:$B$49,Zusammenfassung!$A28,'vermNE NS'!$C$38:$C$49,Zusammenfassung!$B28)</f>
        <v>0</v>
      </c>
      <c r="E28" s="91">
        <f>-SUMIF('vermNE HS'!$B$38:$B$49,Zusammenfassung!$A28,'vermNE HS'!$W$38:$W$49)
-SUMIF('vermNE HM'!$B$38:$B$49,Zusammenfassung!$A28,'vermNE HM'!$W$38:$W$49)
-SUMIF('vermNE MS'!$B$38:$B$49,Zusammenfassung!$A28,'vermNE MS'!$W$38:$W$49)
-SUMIF('vermNE MN'!$B$38:$B$49,Zusammenfassung!$A28,'vermNE MN'!$W$38:$W$49)
-SUMIF('vermNE NS'!$B$38:$B$49,Zusammenfassung!$A28,'vermNE NS'!$W$38:$W$49)</f>
        <v>0</v>
      </c>
      <c r="F28" s="91">
        <f t="shared" si="7"/>
        <v>0</v>
      </c>
      <c r="G28" s="108"/>
      <c r="H28" s="91">
        <f t="shared" si="5"/>
        <v>0</v>
      </c>
      <c r="I28" s="91">
        <f t="shared" si="6"/>
        <v>0</v>
      </c>
    </row>
    <row r="29" spans="1:9" x14ac:dyDescent="0.25">
      <c r="A29" s="306" t="s">
        <v>322</v>
      </c>
      <c r="B29" s="69" t="s">
        <v>379</v>
      </c>
      <c r="C29" s="498">
        <f t="array" ref="C29">SUMIFS('vermNE HS'!X$38:X$49,'vermNE HS'!$B$38:$B$49,Zusammenfassung!$A29,'vermNE HS'!$C$38:$C$49,Zusammenfassung!$B29)+SUM(IF('vermNE HS'!$B$53:$B$64=Zusammenfassung!A29,IF('vermNE HS'!$C$53:$C$64=Zusammenfassung!B29,'vermNE HS'!X$53:X$64,0),0))
+SUMIFS('vermNE HM'!X$38:X$49,'vermNE HM'!$B$38:$B$49,Zusammenfassung!$A29,'vermNE HM'!$C$38:$C$49,Zusammenfassung!$B29)+SUM(IF('vermNE HM'!$B$53:$B$64=Zusammenfassung!A29,IF('vermNE HM'!$C$53:$C$64=Zusammenfassung!B29,'vermNE HM'!X$53:X$64,0),0))
+SUMIFS('vermNE MS'!X$38:X$49,'vermNE MS'!$B$38:$B$49,Zusammenfassung!$A29,'vermNE MS'!$C$38:$C$49,Zusammenfassung!$B29)+SUM(IF('vermNE MS'!$B$53:$B$64=Zusammenfassung!A29,IF('vermNE MS'!$C$53:$C$64=Zusammenfassung!B29,'vermNE MS'!X$53:X$64,0),0))
+SUMIFS('vermNE MN'!X$38:X$49,'vermNE MN'!$B$38:$B$49,Zusammenfassung!$A29,'vermNE MN'!$C$38:$C$49,Zusammenfassung!$B29)+SUM(IF('vermNE MN'!$B$53:$B$64=A29,IF('vermNE MN'!$C$53:$C$64=Zusammenfassung!B29,'vermNE MN'!X$53:X$64,0),0))
+SUMIFS('vermNE NS'!X$38:X$49,'vermNE NS'!$B$38:$B$49,Zusammenfassung!$A29,'vermNE NS'!$C$38:$C$49,Zusammenfassung!$B29)+SUM(IF('vermNE NS'!$B$53:$B$64=A29,IF('vermNE NS'!$C$53:$C$64=Zusammenfassung!B29,'vermNE NS'!X$53:X$64,0),0))</f>
        <v>0</v>
      </c>
      <c r="D29" s="70">
        <f>SUMIFS('vermNE HS'!Y$38:Y$49,'vermNE HS'!$B$38:$B$49,Zusammenfassung!$A29,'vermNE HS'!$C$38:$C$49,Zusammenfassung!$B29)
+SUMIFS('vermNE HM'!Y$38:Y$49,'vermNE HM'!$B$38:$B$49,Zusammenfassung!$A29,'vermNE HM'!$C$38:$C$49,Zusammenfassung!$B29)
+SUMIFS('vermNE MS'!Y$38:Y$49,'vermNE MS'!$B$38:$B$49,Zusammenfassung!$A29,'vermNE MS'!$C$38:$C$49,Zusammenfassung!$B29)
+SUMIFS('vermNE MN'!Y$38:Y$49,'vermNE MN'!$B$38:$B$49,Zusammenfassung!$A29,'vermNE MN'!$C$38:$C$49,Zusammenfassung!$B29)
+SUMIFS('vermNE NS'!Y$38:Y$49,'vermNE NS'!$B$38:$B$49,Zusammenfassung!$A29,'vermNE NS'!$C$38:$C$49,Zusammenfassung!$B29)</f>
        <v>0</v>
      </c>
      <c r="E29" s="91">
        <f>-SUMIF('vermNE HS'!$B$38:$B$49,Zusammenfassung!$A29,'vermNE HS'!$W$38:$W$49)
-SUMIF('vermNE HM'!$B$38:$B$49,Zusammenfassung!$A29,'vermNE HM'!$W$38:$W$49)
-SUMIF('vermNE MS'!$B$38:$B$49,Zusammenfassung!$A29,'vermNE MS'!$W$38:$W$49)
-SUMIF('vermNE MN'!$B$38:$B$49,Zusammenfassung!$A29,'vermNE MN'!$W$38:$W$49)
-SUMIF('vermNE NS'!$B$38:$B$49,Zusammenfassung!$A29,'vermNE NS'!$W$38:$W$49)</f>
        <v>0</v>
      </c>
      <c r="F29" s="91">
        <f t="shared" si="7"/>
        <v>0</v>
      </c>
      <c r="G29" s="108"/>
      <c r="H29" s="91">
        <f t="shared" si="5"/>
        <v>0</v>
      </c>
      <c r="I29" s="91">
        <f t="shared" si="6"/>
        <v>0</v>
      </c>
    </row>
    <row r="30" spans="1:9" x14ac:dyDescent="0.25">
      <c r="A30" s="306" t="s">
        <v>365</v>
      </c>
      <c r="B30" s="69"/>
      <c r="C30" s="498">
        <f>SUMIF('vermNE HS'!$B$38:$B$64,Zusammenfassung!A30,'vermNE HS'!$X$38:$X$69)
+SUMIF('vermNE HM'!$B$38:$B$64,Zusammenfassung!A30,'vermNE HM'!$X$38:$X$69)
+SUMIF('vermNE MS'!$B$38:$B$64,Zusammenfassung!A30,'vermNE MS'!$X$38:$X$69)
+SUMIF('vermNE MN'!$B$38:$B$64,Zusammenfassung!A30,'vermNE MN'!$X$38:$X$69)
+SUMIF('vermNE NS'!$B$38:$B$64,Zusammenfassung!A30,'vermNE NS'!$X$38:$X$69)</f>
        <v>0</v>
      </c>
      <c r="D30" s="70">
        <f>SUMIF('vermNE HS'!$B$38:$B$49,Zusammenfassung!$A30,'vermNE HS'!$Y$38:$Y$49)
+SUMIF('vermNE HM'!$B$38:$B$49,Zusammenfassung!$A30,'vermNE HM'!$Y$38:$Y$49)
+SUMIF('vermNE MS'!$B$38:$B$49,Zusammenfassung!$A30,'vermNE MS'!$Y$38:$Y$49)
+SUMIF('vermNE MN'!$B$38:$B$49,Zusammenfassung!$A30,'vermNE MN'!$Y$38:$Y$49)
+SUMIF('vermNE NS'!$B$38:$B$49,Zusammenfassung!$A30,'vermNE NS'!$Y$38:$Y$49)</f>
        <v>0</v>
      </c>
      <c r="E30" s="91">
        <f>-SUMIF('vermNE HS'!$B$38:$B$49,Zusammenfassung!$A30,'vermNE HS'!$W$38:$W$49)
-SUMIF('vermNE HM'!$B$38:$B$49,Zusammenfassung!$A30,'vermNE HM'!$W$38:$W$49)
-SUMIF('vermNE MS'!$B$38:$B$49,Zusammenfassung!$A30,'vermNE MS'!$W$38:$W$49)
-SUMIF('vermNE MN'!$B$38:$B$49,Zusammenfassung!$A30,'vermNE MN'!$W$38:$W$49)
-SUMIF('vermNE NS'!$B$38:$B$49,Zusammenfassung!$A30,'vermNE NS'!$W$38:$W$49)</f>
        <v>0</v>
      </c>
      <c r="F30" s="91">
        <f t="shared" si="7"/>
        <v>0</v>
      </c>
      <c r="G30" s="91">
        <f>F30</f>
        <v>0</v>
      </c>
      <c r="H30" s="91">
        <f t="shared" si="5"/>
        <v>0</v>
      </c>
      <c r="I30" s="91">
        <f t="shared" si="6"/>
        <v>0</v>
      </c>
    </row>
    <row r="31" spans="1:9" x14ac:dyDescent="0.25">
      <c r="A31" s="315" t="s">
        <v>366</v>
      </c>
      <c r="B31" s="316"/>
      <c r="C31" s="309">
        <f>SUMIF('vermNE HS'!$B$38:$B$64,Zusammenfassung!A31,'vermNE HS'!$X$38:$X$69)
+SUMIF('vermNE HM'!$B$38:$B$64,Zusammenfassung!A31,'vermNE HM'!$X$38:$X$69)
+SUMIF('vermNE MS'!$B$38:$B$64,Zusammenfassung!A31,'vermNE MS'!$X$38:$X$69)
+SUMIF('vermNE MN'!$B$38:$B$64,Zusammenfassung!A31,'vermNE MN'!$X$38:$X$69)
+SUMIF('vermNE NS'!$B$38:$B$64,Zusammenfassung!A31,'vermNE NS'!$X$38:$X$69)</f>
        <v>0</v>
      </c>
      <c r="D31" s="70">
        <f>SUMIF('vermNE HS'!$B$38:$B$49,Zusammenfassung!$A31,'vermNE HS'!$Y$38:$Y$49)
+SUMIF('vermNE HM'!$B$38:$B$49,Zusammenfassung!$A31,'vermNE HM'!$Y$38:$Y$49)
+SUMIF('vermNE MS'!$B$38:$B$49,Zusammenfassung!$A31,'vermNE MS'!$Y$38:$Y$49)
+SUMIF('vermNE MN'!$B$38:$B$49,Zusammenfassung!$A31,'vermNE MN'!$Y$38:$Y$49)
+SUMIF('vermNE NS'!$B$38:$B$49,Zusammenfassung!$A31,'vermNE NS'!$Y$38:$Y$49)</f>
        <v>0</v>
      </c>
      <c r="E31" s="91">
        <f>-SUMIF('vermNE HS'!$B$38:$B$49,Zusammenfassung!$A31,'vermNE HS'!$W$38:$W$49)
-SUMIF('vermNE HM'!$B$38:$B$49,Zusammenfassung!$A31,'vermNE HM'!$W$38:$W$49)
-SUMIF('vermNE MS'!$B$38:$B$49,Zusammenfassung!$A31,'vermNE MS'!$W$38:$W$49)
-SUMIF('vermNE MN'!$B$38:$B$49,Zusammenfassung!$A31,'vermNE MN'!$W$38:$W$49)
-SUMIF('vermNE NS'!$B$38:$B$49,Zusammenfassung!$A31,'vermNE NS'!$W$38:$W$49)</f>
        <v>0</v>
      </c>
      <c r="F31" s="310">
        <f t="shared" si="7"/>
        <v>0</v>
      </c>
      <c r="G31" s="566"/>
      <c r="H31" s="91">
        <f t="shared" si="5"/>
        <v>0</v>
      </c>
      <c r="I31" s="500">
        <f t="shared" si="6"/>
        <v>0</v>
      </c>
    </row>
    <row r="32" spans="1:9" x14ac:dyDescent="0.25">
      <c r="A32" s="266" t="s">
        <v>240</v>
      </c>
      <c r="C32" s="506">
        <f t="shared" ref="C32:H32" si="10">SUM(C23:C31)</f>
        <v>0</v>
      </c>
      <c r="D32" s="514">
        <f t="shared" si="10"/>
        <v>0</v>
      </c>
      <c r="E32" s="507">
        <f t="shared" si="10"/>
        <v>0</v>
      </c>
      <c r="F32" s="512">
        <f t="shared" si="10"/>
        <v>0</v>
      </c>
      <c r="G32" s="513">
        <f t="shared" si="10"/>
        <v>0</v>
      </c>
      <c r="H32" s="513">
        <f t="shared" si="10"/>
        <v>0</v>
      </c>
      <c r="I32" s="561">
        <f>F32-H32</f>
        <v>0</v>
      </c>
    </row>
    <row r="33" spans="1:9" ht="15.75" thickBot="1" x14ac:dyDescent="0.3">
      <c r="A33" s="547" t="s">
        <v>242</v>
      </c>
      <c r="B33" s="548"/>
      <c r="C33" s="498"/>
      <c r="D33" s="457"/>
      <c r="E33" s="310"/>
      <c r="F33" s="163">
        <f>G14+H14</f>
        <v>0</v>
      </c>
      <c r="G33" s="549">
        <f>G14+H14</f>
        <v>0</v>
      </c>
      <c r="H33" s="550">
        <f>G14+H14</f>
        <v>0</v>
      </c>
      <c r="I33" s="515"/>
    </row>
    <row r="34" spans="1:9" ht="15.75" thickBot="1" x14ac:dyDescent="0.3">
      <c r="A34" s="291" t="s">
        <v>4</v>
      </c>
      <c r="B34" s="304"/>
      <c r="C34" s="516"/>
      <c r="D34" s="502"/>
      <c r="E34" s="552"/>
      <c r="F34" s="504">
        <f>SUM(F32:F33)</f>
        <v>0</v>
      </c>
      <c r="G34" s="516">
        <f>SUM(G32:G33)</f>
        <v>0</v>
      </c>
      <c r="H34" s="517">
        <f>SUM(H32:H33)</f>
        <v>0</v>
      </c>
      <c r="I34" s="280"/>
    </row>
    <row r="35" spans="1:9" ht="15.75" thickTop="1" x14ac:dyDescent="0.25">
      <c r="A35" s="312"/>
      <c r="B35" s="70"/>
      <c r="C35" s="70"/>
      <c r="D35" s="514"/>
      <c r="E35" s="70"/>
      <c r="F35" s="280"/>
      <c r="G35" s="280"/>
    </row>
    <row r="36" spans="1:9" ht="45" x14ac:dyDescent="0.25">
      <c r="A36" s="518"/>
      <c r="B36" s="519" t="s">
        <v>238</v>
      </c>
      <c r="C36" s="505" t="s">
        <v>64</v>
      </c>
      <c r="D36" s="520" t="s">
        <v>32</v>
      </c>
      <c r="F36" s="266"/>
      <c r="G36" s="505" t="s">
        <v>243</v>
      </c>
    </row>
    <row r="37" spans="1:9" x14ac:dyDescent="0.25">
      <c r="A37" s="521" t="s">
        <v>22</v>
      </c>
      <c r="B37" s="492" t="s">
        <v>7</v>
      </c>
      <c r="C37" s="491" t="s">
        <v>7</v>
      </c>
      <c r="D37" s="491" t="s">
        <v>7</v>
      </c>
      <c r="F37" s="306"/>
      <c r="G37" s="522" t="s">
        <v>10</v>
      </c>
    </row>
    <row r="38" spans="1:9" x14ac:dyDescent="0.25">
      <c r="A38" s="518" t="s">
        <v>316</v>
      </c>
      <c r="B38" s="523">
        <f>SUMIF('vermNE HS'!$B$38:$B$64,A38,'vermNE HS'!$D$38:$D$64)
+SUMIF('vermNE HM'!$B$38:$B$64,A38,'vermNE HM'!$D$38:$D$64)
+SUMIF('vermNE MS'!$B$38:$B$64,A38,'vermNE MS'!$D$38:$D$64)
+SUMIF('vermNE MN'!$B$38:$B$64,A38,'vermNE MN'!$D$38:$D$64)
+SUMIF('vermNE NS'!$B$38:$B$64,A38,'vermNE NS'!$D$38:$D$64)</f>
        <v>0</v>
      </c>
      <c r="C38" s="109"/>
      <c r="D38" s="206">
        <f t="shared" ref="D38:D44" si="11">B38-C38</f>
        <v>0</v>
      </c>
      <c r="F38" s="266" t="s">
        <v>477</v>
      </c>
      <c r="G38" s="513">
        <f>'vermNE HS'!V13+'vermNE HS'!W13
+'vermNE HM'!V13+'vermNE HM'!W13
+'vermNE MS'!V13+'vermNE MS'!W13
+'vermNE MN'!V13+'vermNE MN'!W13
+'vermNE NS'!V13+'vermNE NS'!W13</f>
        <v>0</v>
      </c>
    </row>
    <row r="39" spans="1:9" x14ac:dyDescent="0.25">
      <c r="A39" s="524" t="s">
        <v>317</v>
      </c>
      <c r="B39" s="206">
        <f>SUMIF('vermNE HS'!$B$38:$B$64,A39,'vermNE HS'!$D$38:$D$64)
+SUMIF('vermNE HM'!$B$38:$B$64,A39,'vermNE HM'!$D$38:$D$64)
+SUMIF('vermNE MS'!$B$38:$B$64,A39,'vermNE MS'!$D$38:$D$64)
+SUMIF('vermNE MN'!$B$38:$B$64,A39,'vermNE MN'!$D$38:$D$64)
+SUMIF('vermNE NS'!$B$38:$B$64,A39,'vermNE NS'!$D$38:$D$64)</f>
        <v>0</v>
      </c>
      <c r="C39" s="109"/>
      <c r="D39" s="206">
        <f t="shared" si="11"/>
        <v>0</v>
      </c>
      <c r="F39" s="315" t="s">
        <v>478</v>
      </c>
      <c r="G39" s="500">
        <f>F30</f>
        <v>0</v>
      </c>
    </row>
    <row r="40" spans="1:9" x14ac:dyDescent="0.25">
      <c r="A40" s="524" t="s">
        <v>16</v>
      </c>
      <c r="B40" s="206">
        <f>SUMIF('vermNE HS'!$B$38:$B$64,A40,'vermNE HS'!$D$38:$D$64)
+SUMIF('vermNE HM'!$B$38:$B$64,A40,'vermNE HM'!$D$38:$D$64)
+SUMIF('vermNE MS'!$B$38:$B$64,A40,'vermNE MS'!$D$38:$D$64)
+SUMIF('vermNE MN'!$B$38:$B$64,A40,'vermNE MN'!$D$38:$D$64)
+SUMIF('vermNE NS'!$B$38:$B$64,A40,'vermNE NS'!$D$38:$D$64)</f>
        <v>0</v>
      </c>
      <c r="C40" s="109"/>
      <c r="D40" s="206">
        <f t="shared" si="11"/>
        <v>0</v>
      </c>
      <c r="F40" s="525" t="s">
        <v>5</v>
      </c>
      <c r="G40" s="526">
        <f>SUM(G38:G39)</f>
        <v>0</v>
      </c>
    </row>
    <row r="41" spans="1:9" x14ac:dyDescent="0.25">
      <c r="A41" s="524" t="s">
        <v>322</v>
      </c>
      <c r="B41" s="206">
        <f>SUMIF('vermNE HS'!$B$38:$B$64,A41,'vermNE HS'!$D$38:$D$64)
+SUMIF('vermNE HM'!$B$38:$B$64,A41,'vermNE HM'!$D$38:$D$64)
+SUMIF('vermNE MS'!$B$38:$B$64,A41,'vermNE MS'!$D$38:$D$64)
+SUMIF('vermNE MN'!$B$38:$B$64,A41,'vermNE MN'!$D$38:$D$64)
+SUMIF('vermNE NS'!$B$38:$B$64,A41,'vermNE NS'!$D$38:$D$64)</f>
        <v>0</v>
      </c>
      <c r="C41" s="109"/>
      <c r="D41" s="206">
        <f t="shared" si="11"/>
        <v>0</v>
      </c>
      <c r="F41" s="319"/>
    </row>
    <row r="42" spans="1:9" x14ac:dyDescent="0.25">
      <c r="A42" s="524" t="s">
        <v>323</v>
      </c>
      <c r="B42" s="206">
        <f>SUMIF('vermNE HS'!$B$38:$B$64,A42,'vermNE HS'!$D$38:$D$64)
+SUMIF('vermNE HM'!$B$38:$B$64,A42,'vermNE HM'!$D$38:$D$64)
+SUMIF('vermNE MS'!$B$38:$B$64,A42,'vermNE MS'!$D$38:$D$64)
+SUMIF('vermNE MN'!$B$38:$B$64,A42,'vermNE MN'!$D$38:$D$64)
+SUMIF('vermNE NS'!$B$38:$B$64,A42,'vermNE NS'!$D$38:$D$64)</f>
        <v>0</v>
      </c>
      <c r="C42" s="109"/>
      <c r="D42" s="206"/>
      <c r="F42" s="319"/>
    </row>
    <row r="43" spans="1:9" x14ac:dyDescent="0.25">
      <c r="A43" s="524" t="s">
        <v>411</v>
      </c>
      <c r="B43" s="206">
        <f>SUMIF('vermNE HS'!$B$38:$B$64,A43,'vermNE HS'!$D$38:$D$64)
+SUMIF('vermNE HM'!$B$38:$B$64,A43,'vermNE HM'!$D$38:$D$64)
+SUMIF('vermNE MS'!$B$38:$B$64,A43,'vermNE MS'!$D$38:$D$64)
+SUMIF('vermNE MN'!$B$38:$B$64,A43,'vermNE MN'!$D$38:$D$64)
+SUMIF('vermNE NS'!$B$38:$B$64,A43,'vermNE NS'!$D$38:$D$64)</f>
        <v>0</v>
      </c>
      <c r="C43" s="109"/>
      <c r="D43" s="206">
        <f t="shared" si="11"/>
        <v>0</v>
      </c>
    </row>
    <row r="44" spans="1:9" x14ac:dyDescent="0.25">
      <c r="A44" s="527" t="s">
        <v>239</v>
      </c>
      <c r="B44" s="528">
        <f>SUM(B38:B43)</f>
        <v>0</v>
      </c>
      <c r="C44" s="529">
        <f>SUM(C38:C43)</f>
        <v>0</v>
      </c>
      <c r="D44" s="528">
        <f t="shared" si="11"/>
        <v>0</v>
      </c>
    </row>
    <row r="45" spans="1:9" x14ac:dyDescent="0.25">
      <c r="A45" s="524" t="str">
        <f>A30</f>
        <v>Rückspeisung eN</v>
      </c>
      <c r="B45" s="208">
        <f>SUMIF('vermNE HS'!$B$38:$B$64,A45,'vermNE HS'!$D$38:$D$64)
+SUMIF('vermNE HM'!$B$38:$B$64,A45,'vermNE HM'!$D$38:$D$64)
+SUMIF('vermNE MS'!$B$38:$B$64,A45,'vermNE MS'!$D$38:$D$64)
+SUMIF('vermNE MN'!$B$38:$B$64,A45,'vermNE MN'!$D$38:$D$64)
+SUMIF('vermNE NS'!$B$38:$B$64,A45,'vermNE NS'!$D$38:$D$64)</f>
        <v>0</v>
      </c>
      <c r="C45" s="530"/>
      <c r="D45" s="531"/>
    </row>
    <row r="46" spans="1:9" x14ac:dyDescent="0.25">
      <c r="A46" s="521" t="str">
        <f>A31</f>
        <v>Rückspeisung fN</v>
      </c>
      <c r="B46" s="532">
        <f>SUMIF('vermNE HS'!$B$38:$B$64,A46,'vermNE HS'!$D$38:$D$64)
+SUMIF('vermNE HM'!$B$38:$B$64,A46,'vermNE HM'!$D$38:$D$64)
+SUMIF('vermNE MS'!$B$38:$B$64,A46,'vermNE MS'!$D$38:$D$64)
+SUMIF('vermNE MN'!$B$38:$B$64,A46,'vermNE MN'!$D$38:$D$64)
+SUMIF('vermNE NS'!$B$38:$B$64,A46,'vermNE NS'!$D$38:$D$64)</f>
        <v>0</v>
      </c>
      <c r="C46" s="143"/>
      <c r="D46" s="66"/>
    </row>
    <row r="47" spans="1:9" x14ac:dyDescent="0.25">
      <c r="A47" s="291" t="s">
        <v>5</v>
      </c>
      <c r="B47" s="528">
        <f>SUM(B44:B46)</f>
        <v>0</v>
      </c>
      <c r="C47" s="66"/>
      <c r="D47" s="66"/>
    </row>
    <row r="48" spans="1:9" x14ac:dyDescent="0.25">
      <c r="B48" s="66"/>
      <c r="C48" s="66"/>
      <c r="D48" s="66"/>
    </row>
    <row r="49" spans="2:7" x14ac:dyDescent="0.25">
      <c r="B49" s="70"/>
      <c r="C49" s="70"/>
      <c r="D49" s="70"/>
      <c r="E49" s="70"/>
      <c r="F49" s="70"/>
      <c r="G49" s="70"/>
    </row>
  </sheetData>
  <sheetProtection algorithmName="SHA-512" hashValue="WTrzw/baE3J4Ear65jzlPfc9MUbThNWLk5eFLAXGq5P55smO2VqW0ypqPznWjrVLCXjaepwLmEFcjfCEL6Pwig==" saltValue="8NR3EpV/xtvVAjfSHWFoVg==" spinCount="100000" sheet="1" objects="1" scenarios="1" formatCells="0"/>
  <conditionalFormatting sqref="C38:C43">
    <cfRule type="expression" dxfId="2" priority="52">
      <formula>C38=""</formula>
    </cfRule>
  </conditionalFormatting>
  <conditionalFormatting sqref="D17:D18">
    <cfRule type="duplicateValues" dxfId="1" priority="3"/>
  </conditionalFormatting>
  <conditionalFormatting sqref="A5:B5">
    <cfRule type="expression" dxfId="0" priority="1">
      <formula>heute-DATEVALUE(CONCATENATE("31.12.",RIGHT($A$5,4)))-365-181-31&gt;0</formula>
    </cfRule>
  </conditionalFormatting>
  <dataValidations disablePrompts="1" count="1">
    <dataValidation type="decimal" operator="lessThanOrEqual" allowBlank="1" showInputMessage="1" showErrorMessage="1" errorTitle="Fehlermeldung" error="Bitte geben Sie den Wert mit einem Minuszeichen ein." sqref="E9:E13" xr:uid="{00000000-0002-0000-0A00-000000000000}">
      <formula1>0</formula1>
    </dataValidation>
  </dataValidations>
  <printOptions horizontalCentered="1"/>
  <pageMargins left="0.39370078740157483" right="0.39370078740157483" top="0.59055118110236227" bottom="0.98425196850393704" header="0.51181102362204722" footer="0.51181102362204722"/>
  <pageSetup paperSize="9" scale="73" fitToWidth="2" orientation="landscape" r:id="rId1"/>
  <headerFooter alignWithMargins="0">
    <oddFooter>&amp;RSeite &amp;P von &amp;N</oddFooter>
  </headerFooter>
  <rowBreaks count="1" manualBreakCount="1">
    <brk id="35" max="7" man="1"/>
  </rowBreak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5"/>
  <dimension ref="B1:U160"/>
  <sheetViews>
    <sheetView workbookViewId="0"/>
  </sheetViews>
  <sheetFormatPr baseColWidth="10" defaultColWidth="11.42578125" defaultRowHeight="14.25" x14ac:dyDescent="0.2"/>
  <cols>
    <col min="1" max="1" width="2.7109375" style="567" customWidth="1"/>
    <col min="2" max="2" width="39.7109375" style="567" customWidth="1"/>
    <col min="3" max="12" width="17.7109375" style="567" customWidth="1"/>
    <col min="13" max="13" width="17.5703125" style="567" customWidth="1"/>
    <col min="14" max="14" width="17.7109375" style="567" customWidth="1"/>
    <col min="15" max="15" width="13.7109375" style="567" customWidth="1"/>
    <col min="16" max="17" width="17.7109375" style="567" customWidth="1"/>
    <col min="18" max="18" width="13.7109375" style="567" customWidth="1"/>
    <col min="19" max="21" width="17.7109375" style="567" customWidth="1"/>
    <col min="22" max="22" width="2.7109375" style="567" customWidth="1"/>
    <col min="23" max="16384" width="11.42578125" style="567"/>
  </cols>
  <sheetData>
    <row r="1" spans="2:21" ht="30" customHeight="1" x14ac:dyDescent="0.2">
      <c r="B1" s="121" t="str">
        <f>CONCATENATE("E3. Vergütung für dezentrale Einspeisungen nach § 18 StromNEV inkl. vermiedene Netzentgelte nach EEG des Jahres ",Allgemeines!B29)</f>
        <v>E3. Vergütung für dezentrale Einspeisungen nach § 18 StromNEV inkl. vermiedene Netzentgelte nach EEG des Jahres 2027</v>
      </c>
      <c r="J1" s="779" t="str">
        <f>CONCATENATE("Falls dieses Tool eingereicht wird, reicht es für die Regulierungskammer des Freistaates Bayern,
- in der dritten Tabelle des Registers E3 des Erhebungsbogens zum Regulierungskonto ",Allgemeines!B29," das Ergebnis in Summe einzutragen und 
- in Zelle D5 den in der Erlösobergrenze enthaltenen Ansatz zu ergänzen.")</f>
        <v>Falls dieses Tool eingereicht wird, reicht es für die Regulierungskammer des Freistaates Bayern,
- in der dritten Tabelle des Registers E3 des Erhebungsbogens zum Regulierungskonto 2027 das Ergebnis in Summe einzutragen und 
- in Zelle D5 den in der Erlösobergrenze enthaltenen Ansatz zu ergänzen.</v>
      </c>
      <c r="K1" s="779"/>
      <c r="L1" s="779"/>
      <c r="M1" s="779"/>
      <c r="N1" s="779"/>
      <c r="O1" s="779"/>
      <c r="P1" s="779"/>
      <c r="Q1" s="779"/>
      <c r="R1" s="779"/>
      <c r="S1" s="779"/>
      <c r="T1" s="779"/>
      <c r="U1" s="779"/>
    </row>
    <row r="2" spans="2:21" ht="12" customHeight="1" thickBot="1" x14ac:dyDescent="0.25">
      <c r="B2" s="122"/>
      <c r="C2" s="122"/>
      <c r="D2" s="122"/>
      <c r="J2" s="779"/>
      <c r="K2" s="779"/>
      <c r="L2" s="779"/>
      <c r="M2" s="779"/>
      <c r="N2" s="779"/>
      <c r="O2" s="779"/>
      <c r="P2" s="779"/>
      <c r="Q2" s="779"/>
      <c r="R2" s="779"/>
      <c r="S2" s="779"/>
      <c r="T2" s="779"/>
      <c r="U2" s="779"/>
    </row>
    <row r="3" spans="2:21" ht="36" customHeight="1" thickBot="1" x14ac:dyDescent="0.25">
      <c r="B3" s="769" t="s">
        <v>354</v>
      </c>
      <c r="C3" s="770"/>
      <c r="D3" s="568" t="s">
        <v>355</v>
      </c>
      <c r="J3" s="779"/>
      <c r="K3" s="779"/>
      <c r="L3" s="779"/>
      <c r="M3" s="779"/>
      <c r="N3" s="779"/>
      <c r="O3" s="779"/>
      <c r="P3" s="779"/>
      <c r="Q3" s="779"/>
      <c r="R3" s="779"/>
      <c r="S3" s="779"/>
      <c r="T3" s="779"/>
      <c r="U3" s="779"/>
    </row>
    <row r="4" spans="2:21" ht="15" customHeight="1" x14ac:dyDescent="0.2">
      <c r="B4" s="771" t="s">
        <v>356</v>
      </c>
      <c r="C4" s="772"/>
      <c r="D4" s="569">
        <f>I53</f>
        <v>0</v>
      </c>
      <c r="E4" s="570"/>
      <c r="F4" s="773" t="s">
        <v>470</v>
      </c>
      <c r="G4" s="774"/>
      <c r="H4" s="774"/>
      <c r="I4" s="777"/>
      <c r="J4" s="779"/>
      <c r="K4" s="779"/>
      <c r="L4" s="779"/>
      <c r="M4" s="779"/>
      <c r="N4" s="779"/>
      <c r="O4" s="779"/>
      <c r="P4" s="779"/>
      <c r="Q4" s="779"/>
      <c r="R4" s="779"/>
      <c r="S4" s="779"/>
      <c r="T4" s="779"/>
      <c r="U4" s="779"/>
    </row>
    <row r="5" spans="2:21" ht="15" customHeight="1" thickBot="1" x14ac:dyDescent="0.25">
      <c r="B5" s="771" t="s">
        <v>357</v>
      </c>
      <c r="C5" s="772"/>
      <c r="D5" s="571"/>
      <c r="E5" s="570"/>
      <c r="F5" s="775"/>
      <c r="G5" s="776"/>
      <c r="H5" s="776"/>
      <c r="I5" s="778"/>
      <c r="J5" s="570"/>
      <c r="K5" s="570"/>
      <c r="L5" s="570"/>
    </row>
    <row r="6" spans="2:21" ht="15" customHeight="1" thickBot="1" x14ac:dyDescent="0.25">
      <c r="B6" s="760" t="s">
        <v>32</v>
      </c>
      <c r="C6" s="761"/>
      <c r="D6" s="572">
        <f>D4-D5</f>
        <v>0</v>
      </c>
      <c r="E6" s="570"/>
      <c r="F6" s="570"/>
      <c r="G6" s="570"/>
      <c r="H6" s="570"/>
      <c r="I6" s="570"/>
      <c r="J6" s="570"/>
      <c r="K6" s="570"/>
      <c r="L6" s="570"/>
    </row>
    <row r="7" spans="2:21" ht="12" customHeight="1" thickBot="1" x14ac:dyDescent="0.25">
      <c r="B7" s="573"/>
      <c r="C7" s="573"/>
      <c r="D7" s="573"/>
      <c r="E7" s="570"/>
      <c r="F7" s="570"/>
      <c r="G7" s="570"/>
      <c r="H7" s="570"/>
      <c r="I7" s="570"/>
      <c r="J7" s="570"/>
      <c r="K7" s="570"/>
      <c r="L7" s="570"/>
    </row>
    <row r="8" spans="2:21" ht="18" customHeight="1" x14ac:dyDescent="0.2">
      <c r="B8" s="574" t="s">
        <v>446</v>
      </c>
      <c r="C8" s="582"/>
      <c r="D8" s="583"/>
      <c r="E8" s="584"/>
      <c r="F8" s="584"/>
      <c r="G8" s="585"/>
      <c r="H8" s="586"/>
      <c r="I8" s="587"/>
      <c r="J8" s="580"/>
      <c r="K8" s="581"/>
      <c r="L8" s="570"/>
    </row>
    <row r="9" spans="2:21" ht="159.75" customHeight="1" x14ac:dyDescent="0.2">
      <c r="B9" s="588" t="s">
        <v>447</v>
      </c>
      <c r="C9" s="589" t="s">
        <v>360</v>
      </c>
      <c r="D9" s="589" t="s">
        <v>361</v>
      </c>
      <c r="E9" s="589" t="s">
        <v>471</v>
      </c>
      <c r="F9" s="589" t="s">
        <v>472</v>
      </c>
      <c r="G9" s="590" t="s">
        <v>473</v>
      </c>
      <c r="H9" s="590" t="s">
        <v>474</v>
      </c>
      <c r="I9" s="591" t="s">
        <v>475</v>
      </c>
    </row>
    <row r="10" spans="2:21" ht="15" customHeight="1" x14ac:dyDescent="0.2">
      <c r="B10" s="123" t="s">
        <v>358</v>
      </c>
      <c r="C10" s="576"/>
      <c r="D10" s="592"/>
      <c r="E10" s="593"/>
      <c r="F10" s="593"/>
      <c r="G10" s="594"/>
      <c r="H10" s="594"/>
      <c r="I10" s="595"/>
      <c r="J10" s="570"/>
    </row>
    <row r="11" spans="2:21" ht="15" customHeight="1" x14ac:dyDescent="0.2">
      <c r="B11" s="120" t="s">
        <v>166</v>
      </c>
      <c r="C11" s="596"/>
      <c r="D11" s="597"/>
      <c r="E11" s="598"/>
      <c r="F11" s="598"/>
      <c r="G11" s="599"/>
      <c r="H11" s="599"/>
      <c r="I11" s="600"/>
      <c r="J11" s="570"/>
    </row>
    <row r="12" spans="2:21" ht="15" customHeight="1" x14ac:dyDescent="0.2">
      <c r="B12" s="123" t="s">
        <v>359</v>
      </c>
      <c r="C12" s="576"/>
      <c r="D12" s="576"/>
      <c r="E12" s="601"/>
      <c r="F12" s="601"/>
      <c r="G12" s="602"/>
      <c r="H12" s="602"/>
      <c r="I12" s="603"/>
      <c r="J12" s="570"/>
    </row>
    <row r="13" spans="2:21" ht="15" customHeight="1" x14ac:dyDescent="0.2">
      <c r="B13" s="120" t="s">
        <v>400</v>
      </c>
      <c r="C13" s="604"/>
      <c r="D13" s="605"/>
      <c r="E13" s="606">
        <f t="shared" ref="E13:E18" si="0">SUMIFS($F$59:$F$158,$C$59:$C$158,"HöS/HS",$D$59:$D$158,B13)</f>
        <v>0</v>
      </c>
      <c r="F13" s="606">
        <f t="shared" ref="F13:F18" si="1">SUMIFS($G$59:$G$158,$C$59:$C$158,"HöS/HS",$D$59:$D$158,B13)</f>
        <v>0</v>
      </c>
      <c r="G13" s="606">
        <f t="shared" ref="G13:G18" si="2">SUMIFS($P$59:$P$158,$C$59:$C$158,"HöS/HS",$D$59:$D$158,B13)</f>
        <v>0</v>
      </c>
      <c r="H13" s="606">
        <f t="shared" ref="H13:H18" si="3">SUMIFS($S$59:$S$158,$C$59:$C$158,"HöS/HS",$D$59:$D$158,B13)</f>
        <v>0</v>
      </c>
      <c r="I13" s="577">
        <f t="shared" ref="I13:I18" si="4">SUMIFS($U$59:$U$158,$C$59:$C$158,"HöS/HS",$D$59:$D$158,B13)</f>
        <v>0</v>
      </c>
      <c r="J13" s="570"/>
    </row>
    <row r="14" spans="2:21" ht="15" customHeight="1" x14ac:dyDescent="0.2">
      <c r="B14" s="120" t="s">
        <v>401</v>
      </c>
      <c r="C14" s="607"/>
      <c r="D14" s="608"/>
      <c r="E14" s="606">
        <f t="shared" si="0"/>
        <v>0</v>
      </c>
      <c r="F14" s="606">
        <f t="shared" si="1"/>
        <v>0</v>
      </c>
      <c r="G14" s="606">
        <f t="shared" si="2"/>
        <v>0</v>
      </c>
      <c r="H14" s="606">
        <f t="shared" si="3"/>
        <v>0</v>
      </c>
      <c r="I14" s="577">
        <f t="shared" si="4"/>
        <v>0</v>
      </c>
      <c r="J14" s="570"/>
    </row>
    <row r="15" spans="2:21" ht="15" customHeight="1" x14ac:dyDescent="0.2">
      <c r="B15" s="120" t="s">
        <v>402</v>
      </c>
      <c r="C15" s="607"/>
      <c r="D15" s="608"/>
      <c r="E15" s="606">
        <f t="shared" si="0"/>
        <v>0</v>
      </c>
      <c r="F15" s="606">
        <f t="shared" si="1"/>
        <v>0</v>
      </c>
      <c r="G15" s="606">
        <f t="shared" si="2"/>
        <v>0</v>
      </c>
      <c r="H15" s="606">
        <f t="shared" si="3"/>
        <v>0</v>
      </c>
      <c r="I15" s="577">
        <f t="shared" si="4"/>
        <v>0</v>
      </c>
      <c r="J15" s="570"/>
    </row>
    <row r="16" spans="2:21" ht="15" customHeight="1" x14ac:dyDescent="0.2">
      <c r="B16" s="120" t="s">
        <v>348</v>
      </c>
      <c r="C16" s="607"/>
      <c r="D16" s="608"/>
      <c r="E16" s="606">
        <f t="shared" si="0"/>
        <v>0</v>
      </c>
      <c r="F16" s="606">
        <f t="shared" si="1"/>
        <v>0</v>
      </c>
      <c r="G16" s="606">
        <f t="shared" si="2"/>
        <v>0</v>
      </c>
      <c r="H16" s="606">
        <f t="shared" si="3"/>
        <v>0</v>
      </c>
      <c r="I16" s="577">
        <f t="shared" si="4"/>
        <v>0</v>
      </c>
      <c r="J16" s="570"/>
    </row>
    <row r="17" spans="2:10" ht="15" customHeight="1" x14ac:dyDescent="0.2">
      <c r="B17" s="120" t="s">
        <v>349</v>
      </c>
      <c r="C17" s="607"/>
      <c r="D17" s="608"/>
      <c r="E17" s="606">
        <f t="shared" si="0"/>
        <v>0</v>
      </c>
      <c r="F17" s="606">
        <f t="shared" si="1"/>
        <v>0</v>
      </c>
      <c r="G17" s="606">
        <f t="shared" si="2"/>
        <v>0</v>
      </c>
      <c r="H17" s="606">
        <f t="shared" si="3"/>
        <v>0</v>
      </c>
      <c r="I17" s="577">
        <f t="shared" si="4"/>
        <v>0</v>
      </c>
      <c r="J17" s="570"/>
    </row>
    <row r="18" spans="2:10" ht="15" customHeight="1" x14ac:dyDescent="0.2">
      <c r="B18" s="120" t="s">
        <v>166</v>
      </c>
      <c r="C18" s="609"/>
      <c r="D18" s="610"/>
      <c r="E18" s="606">
        <f t="shared" si="0"/>
        <v>0</v>
      </c>
      <c r="F18" s="606">
        <f t="shared" si="1"/>
        <v>0</v>
      </c>
      <c r="G18" s="606">
        <f t="shared" si="2"/>
        <v>0</v>
      </c>
      <c r="H18" s="606">
        <f t="shared" si="3"/>
        <v>0</v>
      </c>
      <c r="I18" s="577">
        <f t="shared" si="4"/>
        <v>0</v>
      </c>
      <c r="J18" s="570"/>
    </row>
    <row r="19" spans="2:10" ht="15" customHeight="1" x14ac:dyDescent="0.2">
      <c r="B19" s="124" t="s">
        <v>353</v>
      </c>
      <c r="C19" s="576"/>
      <c r="D19" s="576"/>
      <c r="E19" s="601"/>
      <c r="F19" s="601"/>
      <c r="G19" s="601"/>
      <c r="H19" s="601"/>
      <c r="I19" s="611"/>
      <c r="J19" s="570"/>
    </row>
    <row r="20" spans="2:10" ht="15" customHeight="1" x14ac:dyDescent="0.2">
      <c r="B20" s="120" t="s">
        <v>400</v>
      </c>
      <c r="C20" s="604"/>
      <c r="D20" s="605"/>
      <c r="E20" s="606">
        <f t="shared" ref="E20:E25" si="5">SUMIFS($F$59:$F$158,$C$59:$C$158,"HS",$D$59:$D$158,B20)</f>
        <v>0</v>
      </c>
      <c r="F20" s="606">
        <f t="shared" ref="F20:F25" si="6">SUMIFS($G$59:$G$158,$C$59:$C$158,"HS",$D$59:$D$158,B20)</f>
        <v>0</v>
      </c>
      <c r="G20" s="606">
        <f t="shared" ref="G20:G25" si="7">SUMIFS($P$59:$P$158,$C$59:$C$158,"HS",$D$59:$D$158,B20)</f>
        <v>0</v>
      </c>
      <c r="H20" s="606">
        <f t="shared" ref="H20:H25" si="8">SUMIFS($S$59:$S$158,$C$59:$C$158,"HS",$D$59:$D$158,B20)</f>
        <v>0</v>
      </c>
      <c r="I20" s="577">
        <f t="shared" ref="I20:I25" si="9">SUMIFS($U$59:$U$158,$C$59:$C$158,"HS",$D$59:$D$158,B20)</f>
        <v>0</v>
      </c>
      <c r="J20" s="570"/>
    </row>
    <row r="21" spans="2:10" ht="15" customHeight="1" x14ac:dyDescent="0.2">
      <c r="B21" s="120" t="s">
        <v>401</v>
      </c>
      <c r="C21" s="607"/>
      <c r="D21" s="608"/>
      <c r="E21" s="606">
        <f t="shared" si="5"/>
        <v>0</v>
      </c>
      <c r="F21" s="606">
        <f t="shared" si="6"/>
        <v>0</v>
      </c>
      <c r="G21" s="606">
        <f t="shared" si="7"/>
        <v>0</v>
      </c>
      <c r="H21" s="606">
        <f t="shared" si="8"/>
        <v>0</v>
      </c>
      <c r="I21" s="577">
        <f t="shared" si="9"/>
        <v>0</v>
      </c>
      <c r="J21" s="570"/>
    </row>
    <row r="22" spans="2:10" ht="15" customHeight="1" x14ac:dyDescent="0.2">
      <c r="B22" s="120" t="s">
        <v>402</v>
      </c>
      <c r="C22" s="607"/>
      <c r="D22" s="608"/>
      <c r="E22" s="606">
        <f t="shared" si="5"/>
        <v>0</v>
      </c>
      <c r="F22" s="606">
        <f t="shared" si="6"/>
        <v>0</v>
      </c>
      <c r="G22" s="606">
        <f t="shared" si="7"/>
        <v>0</v>
      </c>
      <c r="H22" s="606">
        <f t="shared" si="8"/>
        <v>0</v>
      </c>
      <c r="I22" s="577">
        <f t="shared" si="9"/>
        <v>0</v>
      </c>
      <c r="J22" s="570"/>
    </row>
    <row r="23" spans="2:10" ht="15" customHeight="1" x14ac:dyDescent="0.2">
      <c r="B23" s="120" t="s">
        <v>348</v>
      </c>
      <c r="C23" s="607"/>
      <c r="D23" s="608"/>
      <c r="E23" s="606">
        <f t="shared" si="5"/>
        <v>0</v>
      </c>
      <c r="F23" s="606">
        <f t="shared" si="6"/>
        <v>0</v>
      </c>
      <c r="G23" s="606">
        <f t="shared" si="7"/>
        <v>0</v>
      </c>
      <c r="H23" s="606">
        <f t="shared" si="8"/>
        <v>0</v>
      </c>
      <c r="I23" s="577">
        <f t="shared" si="9"/>
        <v>0</v>
      </c>
      <c r="J23" s="570"/>
    </row>
    <row r="24" spans="2:10" ht="15" customHeight="1" x14ac:dyDescent="0.2">
      <c r="B24" s="120" t="s">
        <v>349</v>
      </c>
      <c r="C24" s="607"/>
      <c r="D24" s="608"/>
      <c r="E24" s="606">
        <f t="shared" si="5"/>
        <v>0</v>
      </c>
      <c r="F24" s="606">
        <f t="shared" si="6"/>
        <v>0</v>
      </c>
      <c r="G24" s="606">
        <f t="shared" si="7"/>
        <v>0</v>
      </c>
      <c r="H24" s="606">
        <f t="shared" si="8"/>
        <v>0</v>
      </c>
      <c r="I24" s="577">
        <f t="shared" si="9"/>
        <v>0</v>
      </c>
      <c r="J24" s="570"/>
    </row>
    <row r="25" spans="2:10" ht="15" customHeight="1" x14ac:dyDescent="0.2">
      <c r="B25" s="120" t="s">
        <v>166</v>
      </c>
      <c r="C25" s="609"/>
      <c r="D25" s="610"/>
      <c r="E25" s="606">
        <f t="shared" si="5"/>
        <v>0</v>
      </c>
      <c r="F25" s="606">
        <f t="shared" si="6"/>
        <v>0</v>
      </c>
      <c r="G25" s="606">
        <f t="shared" si="7"/>
        <v>0</v>
      </c>
      <c r="H25" s="606">
        <f t="shared" si="8"/>
        <v>0</v>
      </c>
      <c r="I25" s="577">
        <f t="shared" si="9"/>
        <v>0</v>
      </c>
      <c r="J25" s="570"/>
    </row>
    <row r="26" spans="2:10" ht="15" customHeight="1" x14ac:dyDescent="0.2">
      <c r="B26" s="123" t="s">
        <v>347</v>
      </c>
      <c r="C26" s="576"/>
      <c r="D26" s="576"/>
      <c r="E26" s="601"/>
      <c r="F26" s="601"/>
      <c r="G26" s="601"/>
      <c r="H26" s="601"/>
      <c r="I26" s="611"/>
      <c r="J26" s="570"/>
    </row>
    <row r="27" spans="2:10" ht="15" customHeight="1" x14ac:dyDescent="0.2">
      <c r="B27" s="120" t="s">
        <v>400</v>
      </c>
      <c r="C27" s="604"/>
      <c r="D27" s="605"/>
      <c r="E27" s="606">
        <f t="shared" ref="E27:E32" si="10">SUMIFS($F$59:$F$158,$C$59:$C$158,"HS/MS",$D$59:$D$158,B27)</f>
        <v>0</v>
      </c>
      <c r="F27" s="606">
        <f t="shared" ref="F27:F32" si="11">SUMIFS($G$59:$G$158,$C$59:$C$158,"HS/MS",$D$59:$D$158,B27)</f>
        <v>0</v>
      </c>
      <c r="G27" s="606">
        <f t="shared" ref="G27:G32" si="12">SUMIFS($P$59:$P$158,$C$59:$C$158,"HS/MS",$D$59:$D$158,B27)</f>
        <v>0</v>
      </c>
      <c r="H27" s="606">
        <f t="shared" ref="H27:H32" si="13">SUMIFS($S$59:$S$158,$C$59:$C$158,"HS/MS",$D$59:$D$158,B27)</f>
        <v>0</v>
      </c>
      <c r="I27" s="577">
        <f t="shared" ref="I27:I32" si="14">SUMIFS($U$59:$U$158,$C$59:$C$158,"HS/MS",$D$59:$D$158,B27)</f>
        <v>0</v>
      </c>
      <c r="J27" s="570"/>
    </row>
    <row r="28" spans="2:10" ht="15" customHeight="1" x14ac:dyDescent="0.2">
      <c r="B28" s="120" t="s">
        <v>401</v>
      </c>
      <c r="C28" s="607"/>
      <c r="D28" s="608"/>
      <c r="E28" s="606">
        <f t="shared" si="10"/>
        <v>0</v>
      </c>
      <c r="F28" s="606">
        <f t="shared" si="11"/>
        <v>0</v>
      </c>
      <c r="G28" s="606">
        <f t="shared" si="12"/>
        <v>0</v>
      </c>
      <c r="H28" s="606">
        <f t="shared" si="13"/>
        <v>0</v>
      </c>
      <c r="I28" s="577">
        <f t="shared" si="14"/>
        <v>0</v>
      </c>
      <c r="J28" s="570"/>
    </row>
    <row r="29" spans="2:10" ht="15" customHeight="1" x14ac:dyDescent="0.2">
      <c r="B29" s="120" t="s">
        <v>402</v>
      </c>
      <c r="C29" s="607"/>
      <c r="D29" s="608"/>
      <c r="E29" s="606">
        <f t="shared" si="10"/>
        <v>0</v>
      </c>
      <c r="F29" s="606">
        <f t="shared" si="11"/>
        <v>0</v>
      </c>
      <c r="G29" s="606">
        <f t="shared" si="12"/>
        <v>0</v>
      </c>
      <c r="H29" s="606">
        <f t="shared" si="13"/>
        <v>0</v>
      </c>
      <c r="I29" s="577">
        <f t="shared" si="14"/>
        <v>0</v>
      </c>
      <c r="J29" s="570"/>
    </row>
    <row r="30" spans="2:10" ht="15" customHeight="1" x14ac:dyDescent="0.2">
      <c r="B30" s="120" t="s">
        <v>348</v>
      </c>
      <c r="C30" s="607"/>
      <c r="D30" s="608"/>
      <c r="E30" s="606">
        <f t="shared" si="10"/>
        <v>0</v>
      </c>
      <c r="F30" s="606">
        <f t="shared" si="11"/>
        <v>0</v>
      </c>
      <c r="G30" s="606">
        <f t="shared" si="12"/>
        <v>0</v>
      </c>
      <c r="H30" s="606">
        <f t="shared" si="13"/>
        <v>0</v>
      </c>
      <c r="I30" s="577">
        <f t="shared" si="14"/>
        <v>0</v>
      </c>
      <c r="J30" s="570"/>
    </row>
    <row r="31" spans="2:10" ht="15" customHeight="1" x14ac:dyDescent="0.2">
      <c r="B31" s="120" t="s">
        <v>349</v>
      </c>
      <c r="C31" s="607"/>
      <c r="D31" s="608"/>
      <c r="E31" s="606">
        <f t="shared" si="10"/>
        <v>0</v>
      </c>
      <c r="F31" s="606">
        <f t="shared" si="11"/>
        <v>0</v>
      </c>
      <c r="G31" s="606">
        <f t="shared" si="12"/>
        <v>0</v>
      </c>
      <c r="H31" s="606">
        <f t="shared" si="13"/>
        <v>0</v>
      </c>
      <c r="I31" s="577">
        <f t="shared" si="14"/>
        <v>0</v>
      </c>
      <c r="J31" s="570"/>
    </row>
    <row r="32" spans="2:10" ht="15" customHeight="1" x14ac:dyDescent="0.2">
      <c r="B32" s="120" t="s">
        <v>166</v>
      </c>
      <c r="C32" s="609"/>
      <c r="D32" s="610"/>
      <c r="E32" s="606">
        <f t="shared" si="10"/>
        <v>0</v>
      </c>
      <c r="F32" s="606">
        <f t="shared" si="11"/>
        <v>0</v>
      </c>
      <c r="G32" s="606">
        <f t="shared" si="12"/>
        <v>0</v>
      </c>
      <c r="H32" s="606">
        <f t="shared" si="13"/>
        <v>0</v>
      </c>
      <c r="I32" s="577">
        <f t="shared" si="14"/>
        <v>0</v>
      </c>
      <c r="J32" s="570"/>
    </row>
    <row r="33" spans="2:10" ht="15" customHeight="1" x14ac:dyDescent="0.2">
      <c r="B33" s="123" t="s">
        <v>350</v>
      </c>
      <c r="C33" s="576"/>
      <c r="D33" s="576"/>
      <c r="E33" s="601"/>
      <c r="F33" s="601"/>
      <c r="G33" s="601"/>
      <c r="H33" s="601"/>
      <c r="I33" s="611"/>
      <c r="J33" s="570"/>
    </row>
    <row r="34" spans="2:10" ht="15" customHeight="1" x14ac:dyDescent="0.2">
      <c r="B34" s="120" t="s">
        <v>400</v>
      </c>
      <c r="C34" s="604"/>
      <c r="D34" s="605"/>
      <c r="E34" s="606">
        <f t="shared" ref="E34:E39" si="15">SUMIFS($F$59:$F$158,$C$59:$C$158,"MS",$D$59:$D$158,B34)</f>
        <v>0</v>
      </c>
      <c r="F34" s="606">
        <f t="shared" ref="F34:F39" si="16">SUMIFS($G$59:$G$158,$C$59:$C$158,"MS",$D$59:$D$158,B34)</f>
        <v>0</v>
      </c>
      <c r="G34" s="606">
        <f t="shared" ref="G34:G39" si="17">SUMIFS($P$59:$P$158,$C$59:$C$158,"MS",$D$59:$D$158,B34)</f>
        <v>0</v>
      </c>
      <c r="H34" s="606">
        <f t="shared" ref="H34:H39" si="18">SUMIFS($S$59:$S$158,$C$59:$C$158,"MS",$D$59:$D$158,B34)</f>
        <v>0</v>
      </c>
      <c r="I34" s="577">
        <f t="shared" ref="I34:I39" si="19">SUMIFS($U$59:$U$158,$C$59:$C$158,"MS",$D$59:$D$158,B34)</f>
        <v>0</v>
      </c>
      <c r="J34" s="570"/>
    </row>
    <row r="35" spans="2:10" ht="15" customHeight="1" x14ac:dyDescent="0.2">
      <c r="B35" s="120" t="s">
        <v>401</v>
      </c>
      <c r="C35" s="607"/>
      <c r="D35" s="608"/>
      <c r="E35" s="606">
        <f t="shared" si="15"/>
        <v>0</v>
      </c>
      <c r="F35" s="606">
        <f t="shared" si="16"/>
        <v>0</v>
      </c>
      <c r="G35" s="606">
        <f t="shared" si="17"/>
        <v>0</v>
      </c>
      <c r="H35" s="606">
        <f t="shared" si="18"/>
        <v>0</v>
      </c>
      <c r="I35" s="577">
        <f t="shared" si="19"/>
        <v>0</v>
      </c>
      <c r="J35" s="570"/>
    </row>
    <row r="36" spans="2:10" ht="15" customHeight="1" x14ac:dyDescent="0.2">
      <c r="B36" s="120" t="s">
        <v>402</v>
      </c>
      <c r="C36" s="607"/>
      <c r="D36" s="608"/>
      <c r="E36" s="606">
        <f t="shared" si="15"/>
        <v>0</v>
      </c>
      <c r="F36" s="606">
        <f t="shared" si="16"/>
        <v>0</v>
      </c>
      <c r="G36" s="606">
        <f t="shared" si="17"/>
        <v>0</v>
      </c>
      <c r="H36" s="606">
        <f t="shared" si="18"/>
        <v>0</v>
      </c>
      <c r="I36" s="577">
        <f t="shared" si="19"/>
        <v>0</v>
      </c>
      <c r="J36" s="570"/>
    </row>
    <row r="37" spans="2:10" ht="15" customHeight="1" x14ac:dyDescent="0.2">
      <c r="B37" s="120" t="s">
        <v>348</v>
      </c>
      <c r="C37" s="607"/>
      <c r="D37" s="608"/>
      <c r="E37" s="606">
        <f t="shared" si="15"/>
        <v>0</v>
      </c>
      <c r="F37" s="606">
        <f t="shared" si="16"/>
        <v>0</v>
      </c>
      <c r="G37" s="606">
        <f t="shared" si="17"/>
        <v>0</v>
      </c>
      <c r="H37" s="606">
        <f t="shared" si="18"/>
        <v>0</v>
      </c>
      <c r="I37" s="577">
        <f t="shared" si="19"/>
        <v>0</v>
      </c>
      <c r="J37" s="570"/>
    </row>
    <row r="38" spans="2:10" ht="15" customHeight="1" x14ac:dyDescent="0.2">
      <c r="B38" s="120" t="s">
        <v>349</v>
      </c>
      <c r="C38" s="607"/>
      <c r="D38" s="608"/>
      <c r="E38" s="606">
        <f t="shared" si="15"/>
        <v>0</v>
      </c>
      <c r="F38" s="606">
        <f t="shared" si="16"/>
        <v>0</v>
      </c>
      <c r="G38" s="606">
        <f t="shared" si="17"/>
        <v>0</v>
      </c>
      <c r="H38" s="606">
        <f t="shared" si="18"/>
        <v>0</v>
      </c>
      <c r="I38" s="577">
        <f t="shared" si="19"/>
        <v>0</v>
      </c>
      <c r="J38" s="570"/>
    </row>
    <row r="39" spans="2:10" ht="15" customHeight="1" x14ac:dyDescent="0.2">
      <c r="B39" s="120" t="s">
        <v>166</v>
      </c>
      <c r="C39" s="609"/>
      <c r="D39" s="610"/>
      <c r="E39" s="606">
        <f t="shared" si="15"/>
        <v>0</v>
      </c>
      <c r="F39" s="606">
        <f t="shared" si="16"/>
        <v>0</v>
      </c>
      <c r="G39" s="606">
        <f t="shared" si="17"/>
        <v>0</v>
      </c>
      <c r="H39" s="606">
        <f t="shared" si="18"/>
        <v>0</v>
      </c>
      <c r="I39" s="577">
        <f t="shared" si="19"/>
        <v>0</v>
      </c>
      <c r="J39" s="570"/>
    </row>
    <row r="40" spans="2:10" ht="15" customHeight="1" x14ac:dyDescent="0.2">
      <c r="B40" s="123" t="s">
        <v>351</v>
      </c>
      <c r="C40" s="576"/>
      <c r="D40" s="576"/>
      <c r="E40" s="601"/>
      <c r="F40" s="601"/>
      <c r="G40" s="601"/>
      <c r="H40" s="601"/>
      <c r="I40" s="611"/>
      <c r="J40" s="570"/>
    </row>
    <row r="41" spans="2:10" ht="15" customHeight="1" x14ac:dyDescent="0.2">
      <c r="B41" s="120" t="s">
        <v>400</v>
      </c>
      <c r="C41" s="604"/>
      <c r="D41" s="605"/>
      <c r="E41" s="606">
        <f t="shared" ref="E41:E46" si="20">SUMIFS($F$59:$F$158,$C$59:$C$158,"MS/NS",$D$59:$D$158,B41)</f>
        <v>0</v>
      </c>
      <c r="F41" s="606">
        <f t="shared" ref="F41:F46" si="21">SUMIFS($G$59:$G$158,$C$59:$C$158,"MS/NS",$D$59:$D$158,B41)</f>
        <v>0</v>
      </c>
      <c r="G41" s="606">
        <f t="shared" ref="G41:G46" si="22">SUMIFS($P$59:$P$158,$C$59:$C$158,"MS/NS",$D$59:$D$158,B41)</f>
        <v>0</v>
      </c>
      <c r="H41" s="606">
        <f t="shared" ref="H41:H46" si="23">SUMIFS($S$59:$S$158,$C$59:$C$158,"MS/NS",$D$59:$D$158,B41)</f>
        <v>0</v>
      </c>
      <c r="I41" s="577">
        <f t="shared" ref="I41:I46" si="24">SUMIFS($U$59:$U$158,$C$59:$C$158,"MS/NS",$D$59:$D$158,B41)</f>
        <v>0</v>
      </c>
      <c r="J41" s="570"/>
    </row>
    <row r="42" spans="2:10" ht="15" customHeight="1" x14ac:dyDescent="0.2">
      <c r="B42" s="120" t="s">
        <v>401</v>
      </c>
      <c r="C42" s="607"/>
      <c r="D42" s="608"/>
      <c r="E42" s="606">
        <f t="shared" si="20"/>
        <v>0</v>
      </c>
      <c r="F42" s="606">
        <f t="shared" si="21"/>
        <v>0</v>
      </c>
      <c r="G42" s="606">
        <f t="shared" si="22"/>
        <v>0</v>
      </c>
      <c r="H42" s="606">
        <f t="shared" si="23"/>
        <v>0</v>
      </c>
      <c r="I42" s="577">
        <f t="shared" si="24"/>
        <v>0</v>
      </c>
      <c r="J42" s="570"/>
    </row>
    <row r="43" spans="2:10" ht="15" customHeight="1" x14ac:dyDescent="0.2">
      <c r="B43" s="120" t="s">
        <v>402</v>
      </c>
      <c r="C43" s="607"/>
      <c r="D43" s="608"/>
      <c r="E43" s="606">
        <f t="shared" si="20"/>
        <v>0</v>
      </c>
      <c r="F43" s="606">
        <f t="shared" si="21"/>
        <v>0</v>
      </c>
      <c r="G43" s="606">
        <f t="shared" si="22"/>
        <v>0</v>
      </c>
      <c r="H43" s="606">
        <f t="shared" si="23"/>
        <v>0</v>
      </c>
      <c r="I43" s="577">
        <f t="shared" si="24"/>
        <v>0</v>
      </c>
      <c r="J43" s="570"/>
    </row>
    <row r="44" spans="2:10" ht="15" customHeight="1" x14ac:dyDescent="0.2">
      <c r="B44" s="120" t="s">
        <v>348</v>
      </c>
      <c r="C44" s="607"/>
      <c r="D44" s="608"/>
      <c r="E44" s="606">
        <f t="shared" si="20"/>
        <v>0</v>
      </c>
      <c r="F44" s="606">
        <f t="shared" si="21"/>
        <v>0</v>
      </c>
      <c r="G44" s="606">
        <f t="shared" si="22"/>
        <v>0</v>
      </c>
      <c r="H44" s="606">
        <f t="shared" si="23"/>
        <v>0</v>
      </c>
      <c r="I44" s="577">
        <f t="shared" si="24"/>
        <v>0</v>
      </c>
      <c r="J44" s="570"/>
    </row>
    <row r="45" spans="2:10" ht="15" customHeight="1" x14ac:dyDescent="0.2">
      <c r="B45" s="120" t="s">
        <v>349</v>
      </c>
      <c r="C45" s="607"/>
      <c r="D45" s="608"/>
      <c r="E45" s="606">
        <f t="shared" si="20"/>
        <v>0</v>
      </c>
      <c r="F45" s="606">
        <f t="shared" si="21"/>
        <v>0</v>
      </c>
      <c r="G45" s="606">
        <f t="shared" si="22"/>
        <v>0</v>
      </c>
      <c r="H45" s="606">
        <f t="shared" si="23"/>
        <v>0</v>
      </c>
      <c r="I45" s="577">
        <f t="shared" si="24"/>
        <v>0</v>
      </c>
      <c r="J45" s="570"/>
    </row>
    <row r="46" spans="2:10" ht="15" customHeight="1" x14ac:dyDescent="0.2">
      <c r="B46" s="120" t="s">
        <v>166</v>
      </c>
      <c r="C46" s="609"/>
      <c r="D46" s="610"/>
      <c r="E46" s="606">
        <f t="shared" si="20"/>
        <v>0</v>
      </c>
      <c r="F46" s="606">
        <f t="shared" si="21"/>
        <v>0</v>
      </c>
      <c r="G46" s="606">
        <f t="shared" si="22"/>
        <v>0</v>
      </c>
      <c r="H46" s="606">
        <f t="shared" si="23"/>
        <v>0</v>
      </c>
      <c r="I46" s="577">
        <f t="shared" si="24"/>
        <v>0</v>
      </c>
      <c r="J46" s="570"/>
    </row>
    <row r="47" spans="2:10" ht="15" customHeight="1" x14ac:dyDescent="0.2">
      <c r="B47" s="123" t="s">
        <v>352</v>
      </c>
      <c r="C47" s="576"/>
      <c r="D47" s="576"/>
      <c r="E47" s="601"/>
      <c r="F47" s="601"/>
      <c r="G47" s="601"/>
      <c r="H47" s="601"/>
      <c r="I47" s="611"/>
      <c r="J47" s="570"/>
    </row>
    <row r="48" spans="2:10" ht="15" customHeight="1" x14ac:dyDescent="0.2">
      <c r="B48" s="120" t="s">
        <v>400</v>
      </c>
      <c r="C48" s="604"/>
      <c r="D48" s="605"/>
      <c r="E48" s="606">
        <f>SUMIFS($F$59:$F$158,$C$59:$C$158,"NS",$D$59:$D$158,B48)</f>
        <v>1</v>
      </c>
      <c r="F48" s="606">
        <f>SUMIFS($G$59:$G$158,$C$59:$C$158,"NS",$D$59:$D$158,B48)</f>
        <v>0</v>
      </c>
      <c r="G48" s="606">
        <f>SUMIFS($P$59:$P$158,$C$59:$C$158,"NS",$D$59:$D$158,B48)</f>
        <v>0</v>
      </c>
      <c r="H48" s="606">
        <f>SUMIFS($S$59:$S$158,$C$59:$C$158,"NS",$D$59:$D$158,B48)</f>
        <v>0</v>
      </c>
      <c r="I48" s="577">
        <f>SUMIFS($U$59:$U$158,$C$59:$C$158,"NS",$D$59:$D$158,B48)</f>
        <v>0</v>
      </c>
      <c r="J48" s="570"/>
    </row>
    <row r="49" spans="2:21" ht="15" customHeight="1" x14ac:dyDescent="0.2">
      <c r="B49" s="120" t="s">
        <v>401</v>
      </c>
      <c r="C49" s="607"/>
      <c r="D49" s="608"/>
      <c r="E49" s="606">
        <f>SUMIFS($F$59:$F$158,$C$59:$C$158,"NS",$D$59:$D$158,B49)</f>
        <v>0</v>
      </c>
      <c r="F49" s="606">
        <f>SUMIFS($G$59:$G$158,$C$59:$C$158,"NS",$D$59:$D$158,B49)</f>
        <v>0</v>
      </c>
      <c r="G49" s="606">
        <f>SUMIFS($P$59:$P$158,$C$59:$C$158,"NS",$D$59:$D$158,B49)</f>
        <v>0</v>
      </c>
      <c r="H49" s="606">
        <f>SUMIFS($S$59:$S$158,$C$59:$C$158,"NS",$D$59:$D$158,B49)</f>
        <v>0</v>
      </c>
      <c r="I49" s="577">
        <f>SUMIFS($U$59:$U$158,$C$59:$C$158,"NS",$D$59:$D$158,B49)</f>
        <v>0</v>
      </c>
      <c r="J49" s="570"/>
    </row>
    <row r="50" spans="2:21" ht="15" customHeight="1" x14ac:dyDescent="0.2">
      <c r="B50" s="120" t="s">
        <v>402</v>
      </c>
      <c r="C50" s="607"/>
      <c r="D50" s="608"/>
      <c r="E50" s="606">
        <f>SUMIFS($F$59:$F$158,$C$59:$C$158,"NS",$D$59:$D$158,B50)</f>
        <v>0</v>
      </c>
      <c r="F50" s="606">
        <f>SUMIFS($G$59:$G$158,$C$59:$C$158,"NS",$D$59:$D$158,B50)</f>
        <v>0</v>
      </c>
      <c r="G50" s="606">
        <f>SUMIFS($P$59:$P$158,$C$59:$C$158,"NS",$D$59:$D$158,B50)</f>
        <v>0</v>
      </c>
      <c r="H50" s="606">
        <f>SUMIFS($S$59:$S$158,$C$59:$C$158,"NS",$D$59:$D$158,B50)</f>
        <v>0</v>
      </c>
      <c r="I50" s="577">
        <f>SUMIFS($U$59:$U$158,$C$59:$C$158,"NS",$D$59:$D$158,B50)</f>
        <v>0</v>
      </c>
      <c r="J50" s="570"/>
    </row>
    <row r="51" spans="2:21" ht="15" customHeight="1" x14ac:dyDescent="0.2">
      <c r="B51" s="120" t="s">
        <v>348</v>
      </c>
      <c r="C51" s="607"/>
      <c r="D51" s="608"/>
      <c r="E51" s="606">
        <f>SUMIFS($F$59:$F$158,$C$59:$C$158,"NS",$D$59:$D$158,B51)</f>
        <v>0</v>
      </c>
      <c r="F51" s="606">
        <f>SUMIFS($G$59:$G$158,$C$59:$C$158,"NS",$D$59:$D$158,B51)</f>
        <v>0</v>
      </c>
      <c r="G51" s="606">
        <f>SUMIFS($P$59:$P$158,$C$59:$C$158,"NS",$D$59:$D$158,B51)</f>
        <v>0</v>
      </c>
      <c r="H51" s="606">
        <f>SUMIFS($S$59:$S$158,$C$59:$C$158,"NS",$D$59:$D$158,B51)</f>
        <v>0</v>
      </c>
      <c r="I51" s="577">
        <f>SUMIFS($U$59:$U$158,$C$59:$C$158,"NS",$D$59:$D$158,B51)</f>
        <v>0</v>
      </c>
      <c r="J51" s="570"/>
    </row>
    <row r="52" spans="2:21" ht="15" customHeight="1" x14ac:dyDescent="0.2">
      <c r="B52" s="120" t="s">
        <v>349</v>
      </c>
      <c r="C52" s="609"/>
      <c r="D52" s="610"/>
      <c r="E52" s="606">
        <f>SUMIFS($F$59:$F$158,$C$59:$C$158,"NS",$D$59:$D$158,B52)</f>
        <v>0</v>
      </c>
      <c r="F52" s="606">
        <f>SUMIFS($G$59:$G$158,$C$59:$C$158,"NS",$D$59:$D$158,B52)</f>
        <v>0</v>
      </c>
      <c r="G52" s="606">
        <f>SUMIFS($P$59:$P$158,$C$59:$C$158,"NS",$D$59:$D$158,B52)</f>
        <v>0</v>
      </c>
      <c r="H52" s="606">
        <f>SUMIFS($S$59:$S$158,$C$59:$C$158,"NS",$D$59:$D$158,B52)</f>
        <v>0</v>
      </c>
      <c r="I52" s="577">
        <f>SUMIFS($U$59:$U$158,$C$59:$C$158,"NS",$D$59:$D$158,B52)</f>
        <v>0</v>
      </c>
      <c r="J52" s="570"/>
    </row>
    <row r="53" spans="2:21" ht="15" customHeight="1" thickBot="1" x14ac:dyDescent="0.25">
      <c r="B53" s="612" t="s">
        <v>3</v>
      </c>
      <c r="C53" s="613"/>
      <c r="D53" s="613"/>
      <c r="E53" s="613"/>
      <c r="F53" s="578">
        <f>SUM(F11:F52)</f>
        <v>0</v>
      </c>
      <c r="G53" s="578">
        <f>SUM(G11:G52)</f>
        <v>0</v>
      </c>
      <c r="H53" s="578">
        <f>SUM(H11:H52)</f>
        <v>0</v>
      </c>
      <c r="I53" s="579">
        <f>SUM(I11:I52)</f>
        <v>0</v>
      </c>
      <c r="J53" s="570"/>
    </row>
    <row r="54" spans="2:21" ht="12" customHeight="1" thickBot="1" x14ac:dyDescent="0.25">
      <c r="B54" s="570"/>
      <c r="C54" s="570"/>
      <c r="D54" s="570"/>
      <c r="E54" s="570"/>
      <c r="F54" s="570"/>
      <c r="G54" s="570"/>
      <c r="H54" s="570"/>
      <c r="I54" s="570"/>
      <c r="J54" s="570"/>
      <c r="K54" s="570"/>
      <c r="L54" s="570"/>
    </row>
    <row r="55" spans="2:21" ht="18" customHeight="1" x14ac:dyDescent="0.2">
      <c r="B55" s="762" t="s">
        <v>448</v>
      </c>
      <c r="C55" s="763"/>
      <c r="D55" s="763"/>
      <c r="E55" s="763"/>
      <c r="F55" s="763"/>
      <c r="G55" s="763"/>
      <c r="H55" s="763"/>
      <c r="I55" s="763"/>
      <c r="J55" s="763"/>
      <c r="K55" s="763"/>
      <c r="L55" s="763"/>
      <c r="M55" s="763"/>
      <c r="N55" s="763"/>
      <c r="O55" s="763"/>
      <c r="P55" s="763"/>
      <c r="Q55" s="763"/>
      <c r="R55" s="614"/>
      <c r="S55" s="614"/>
      <c r="T55" s="614"/>
      <c r="U55" s="615"/>
    </row>
    <row r="56" spans="2:21" ht="36" customHeight="1" x14ac:dyDescent="0.2">
      <c r="B56" s="616" t="s">
        <v>449</v>
      </c>
      <c r="C56" s="617"/>
      <c r="D56" s="617"/>
      <c r="E56" s="618"/>
      <c r="F56" s="575" t="s">
        <v>450</v>
      </c>
      <c r="G56" s="618"/>
      <c r="H56" s="619" t="s">
        <v>451</v>
      </c>
      <c r="I56" s="620"/>
      <c r="J56" s="575" t="s">
        <v>452</v>
      </c>
      <c r="K56" s="617"/>
      <c r="L56" s="617"/>
      <c r="M56" s="617"/>
      <c r="N56" s="764" t="s">
        <v>453</v>
      </c>
      <c r="O56" s="765"/>
      <c r="P56" s="766"/>
      <c r="Q56" s="764" t="s">
        <v>454</v>
      </c>
      <c r="R56" s="765"/>
      <c r="S56" s="766"/>
      <c r="T56" s="767" t="s">
        <v>455</v>
      </c>
      <c r="U56" s="768"/>
    </row>
    <row r="57" spans="2:21" ht="90" customHeight="1" x14ac:dyDescent="0.2">
      <c r="B57" s="621" t="s">
        <v>456</v>
      </c>
      <c r="C57" s="622" t="s">
        <v>445</v>
      </c>
      <c r="D57" s="767" t="s">
        <v>457</v>
      </c>
      <c r="E57" s="783"/>
      <c r="F57" s="622" t="s">
        <v>458</v>
      </c>
      <c r="G57" s="622" t="s">
        <v>459</v>
      </c>
      <c r="H57" s="622" t="s">
        <v>460</v>
      </c>
      <c r="I57" s="622" t="s">
        <v>461</v>
      </c>
      <c r="J57" s="622" t="s">
        <v>462</v>
      </c>
      <c r="K57" s="767" t="s">
        <v>431</v>
      </c>
      <c r="L57" s="784"/>
      <c r="M57" s="783"/>
      <c r="N57" s="623" t="s">
        <v>463</v>
      </c>
      <c r="O57" s="624" t="s">
        <v>464</v>
      </c>
      <c r="P57" s="623" t="s">
        <v>465</v>
      </c>
      <c r="Q57" s="623" t="s">
        <v>463</v>
      </c>
      <c r="R57" s="624" t="s">
        <v>464</v>
      </c>
      <c r="S57" s="623" t="s">
        <v>465</v>
      </c>
      <c r="T57" s="622" t="s">
        <v>463</v>
      </c>
      <c r="U57" s="625" t="s">
        <v>466</v>
      </c>
    </row>
    <row r="58" spans="2:21" ht="15" customHeight="1" x14ac:dyDescent="0.2">
      <c r="B58" s="626"/>
      <c r="C58" s="627"/>
      <c r="D58" s="627"/>
      <c r="E58" s="627"/>
      <c r="F58" s="628"/>
      <c r="G58" s="628"/>
      <c r="H58" s="629"/>
      <c r="I58" s="629"/>
      <c r="J58" s="628"/>
      <c r="K58" s="628"/>
      <c r="L58" s="628"/>
      <c r="M58" s="630" t="s">
        <v>467</v>
      </c>
      <c r="N58" s="631">
        <f>SUM(N59:N158)</f>
        <v>0</v>
      </c>
      <c r="O58" s="632"/>
      <c r="P58" s="631">
        <f>SUM(P59:P158)</f>
        <v>0</v>
      </c>
      <c r="Q58" s="631">
        <f>SUM(Q59:Q158)</f>
        <v>0</v>
      </c>
      <c r="R58" s="632"/>
      <c r="S58" s="631">
        <f>SUM(S59:S158)</f>
        <v>0</v>
      </c>
      <c r="T58" s="631">
        <f>SUM(T59:T158)</f>
        <v>0</v>
      </c>
      <c r="U58" s="569">
        <f>SUM(U59:U158)</f>
        <v>0</v>
      </c>
    </row>
    <row r="59" spans="2:21" ht="15" customHeight="1" x14ac:dyDescent="0.2">
      <c r="B59" s="633" t="s">
        <v>468</v>
      </c>
      <c r="C59" s="634" t="s">
        <v>12</v>
      </c>
      <c r="D59" s="780" t="s">
        <v>400</v>
      </c>
      <c r="E59" s="781"/>
      <c r="F59" s="635">
        <v>1</v>
      </c>
      <c r="G59" s="635"/>
      <c r="H59" s="636">
        <f>Zusammenfassung!H34</f>
        <v>0</v>
      </c>
      <c r="I59" s="636"/>
      <c r="J59" s="637"/>
      <c r="K59" s="780"/>
      <c r="L59" s="782"/>
      <c r="M59" s="781"/>
      <c r="N59" s="638">
        <f t="shared" ref="N59:N90" si="25">$F59*$H59</f>
        <v>0</v>
      </c>
      <c r="O59" s="639">
        <v>1</v>
      </c>
      <c r="P59" s="638">
        <f t="shared" ref="P59:P90" si="26">N59*O59</f>
        <v>0</v>
      </c>
      <c r="Q59" s="638">
        <f t="shared" ref="Q59:Q90" si="27">$G59*$I59/100</f>
        <v>0</v>
      </c>
      <c r="R59" s="639">
        <v>1</v>
      </c>
      <c r="S59" s="638">
        <f t="shared" ref="S59:S90" si="28">Q59*R59</f>
        <v>0</v>
      </c>
      <c r="T59" s="638">
        <f t="shared" ref="T59:T90" si="29">N59+Q59</f>
        <v>0</v>
      </c>
      <c r="U59" s="640">
        <f t="shared" ref="U59:U90" si="30">P59+S59</f>
        <v>0</v>
      </c>
    </row>
    <row r="60" spans="2:21" ht="15" customHeight="1" x14ac:dyDescent="0.2">
      <c r="B60" s="633"/>
      <c r="C60" s="634" t="s">
        <v>469</v>
      </c>
      <c r="D60" s="780" t="s">
        <v>469</v>
      </c>
      <c r="E60" s="781"/>
      <c r="F60" s="635"/>
      <c r="G60" s="635"/>
      <c r="H60" s="636"/>
      <c r="I60" s="636"/>
      <c r="J60" s="637"/>
      <c r="K60" s="780"/>
      <c r="L60" s="782"/>
      <c r="M60" s="781"/>
      <c r="N60" s="638">
        <f t="shared" si="25"/>
        <v>0</v>
      </c>
      <c r="O60" s="639">
        <v>1</v>
      </c>
      <c r="P60" s="638">
        <f t="shared" si="26"/>
        <v>0</v>
      </c>
      <c r="Q60" s="638">
        <f t="shared" si="27"/>
        <v>0</v>
      </c>
      <c r="R60" s="639">
        <v>1</v>
      </c>
      <c r="S60" s="638">
        <f t="shared" si="28"/>
        <v>0</v>
      </c>
      <c r="T60" s="638">
        <f t="shared" si="29"/>
        <v>0</v>
      </c>
      <c r="U60" s="640">
        <f t="shared" si="30"/>
        <v>0</v>
      </c>
    </row>
    <row r="61" spans="2:21" ht="15" customHeight="1" x14ac:dyDescent="0.2">
      <c r="B61" s="633"/>
      <c r="C61" s="634" t="s">
        <v>469</v>
      </c>
      <c r="D61" s="780" t="s">
        <v>469</v>
      </c>
      <c r="E61" s="781"/>
      <c r="F61" s="635"/>
      <c r="G61" s="635"/>
      <c r="H61" s="636"/>
      <c r="I61" s="636"/>
      <c r="J61" s="637"/>
      <c r="K61" s="780"/>
      <c r="L61" s="782"/>
      <c r="M61" s="781"/>
      <c r="N61" s="638">
        <f t="shared" si="25"/>
        <v>0</v>
      </c>
      <c r="O61" s="639">
        <v>1</v>
      </c>
      <c r="P61" s="638">
        <f t="shared" si="26"/>
        <v>0</v>
      </c>
      <c r="Q61" s="641">
        <f t="shared" si="27"/>
        <v>0</v>
      </c>
      <c r="R61" s="639">
        <v>1</v>
      </c>
      <c r="S61" s="638">
        <f t="shared" si="28"/>
        <v>0</v>
      </c>
      <c r="T61" s="638">
        <f t="shared" si="29"/>
        <v>0</v>
      </c>
      <c r="U61" s="640">
        <f t="shared" si="30"/>
        <v>0</v>
      </c>
    </row>
    <row r="62" spans="2:21" ht="15" customHeight="1" x14ac:dyDescent="0.2">
      <c r="B62" s="633"/>
      <c r="C62" s="634" t="s">
        <v>469</v>
      </c>
      <c r="D62" s="780" t="s">
        <v>469</v>
      </c>
      <c r="E62" s="781"/>
      <c r="F62" s="635"/>
      <c r="G62" s="635"/>
      <c r="H62" s="636"/>
      <c r="I62" s="636"/>
      <c r="J62" s="637"/>
      <c r="K62" s="780"/>
      <c r="L62" s="782"/>
      <c r="M62" s="781"/>
      <c r="N62" s="638">
        <f t="shared" si="25"/>
        <v>0</v>
      </c>
      <c r="O62" s="639">
        <v>1</v>
      </c>
      <c r="P62" s="638">
        <f t="shared" si="26"/>
        <v>0</v>
      </c>
      <c r="Q62" s="638">
        <f t="shared" si="27"/>
        <v>0</v>
      </c>
      <c r="R62" s="639">
        <v>1</v>
      </c>
      <c r="S62" s="638">
        <f t="shared" si="28"/>
        <v>0</v>
      </c>
      <c r="T62" s="638">
        <f t="shared" si="29"/>
        <v>0</v>
      </c>
      <c r="U62" s="640">
        <f t="shared" si="30"/>
        <v>0</v>
      </c>
    </row>
    <row r="63" spans="2:21" ht="15" customHeight="1" x14ac:dyDescent="0.2">
      <c r="B63" s="633"/>
      <c r="C63" s="634" t="s">
        <v>469</v>
      </c>
      <c r="D63" s="780" t="s">
        <v>469</v>
      </c>
      <c r="E63" s="781"/>
      <c r="F63" s="635"/>
      <c r="G63" s="635"/>
      <c r="H63" s="636"/>
      <c r="I63" s="636"/>
      <c r="J63" s="637"/>
      <c r="K63" s="780"/>
      <c r="L63" s="782"/>
      <c r="M63" s="781"/>
      <c r="N63" s="638">
        <f t="shared" si="25"/>
        <v>0</v>
      </c>
      <c r="O63" s="639">
        <v>1</v>
      </c>
      <c r="P63" s="638">
        <f t="shared" si="26"/>
        <v>0</v>
      </c>
      <c r="Q63" s="638">
        <f t="shared" si="27"/>
        <v>0</v>
      </c>
      <c r="R63" s="639">
        <v>1</v>
      </c>
      <c r="S63" s="638">
        <f t="shared" si="28"/>
        <v>0</v>
      </c>
      <c r="T63" s="638">
        <f t="shared" si="29"/>
        <v>0</v>
      </c>
      <c r="U63" s="640">
        <f t="shared" si="30"/>
        <v>0</v>
      </c>
    </row>
    <row r="64" spans="2:21" ht="15" customHeight="1" x14ac:dyDescent="0.2">
      <c r="B64" s="633"/>
      <c r="C64" s="634" t="s">
        <v>469</v>
      </c>
      <c r="D64" s="780" t="s">
        <v>469</v>
      </c>
      <c r="E64" s="781"/>
      <c r="F64" s="635"/>
      <c r="G64" s="635"/>
      <c r="H64" s="636"/>
      <c r="I64" s="636"/>
      <c r="J64" s="637"/>
      <c r="K64" s="780"/>
      <c r="L64" s="782"/>
      <c r="M64" s="781"/>
      <c r="N64" s="638">
        <f t="shared" si="25"/>
        <v>0</v>
      </c>
      <c r="O64" s="639">
        <v>1</v>
      </c>
      <c r="P64" s="638">
        <f t="shared" si="26"/>
        <v>0</v>
      </c>
      <c r="Q64" s="638">
        <f t="shared" si="27"/>
        <v>0</v>
      </c>
      <c r="R64" s="639">
        <v>1</v>
      </c>
      <c r="S64" s="638">
        <f t="shared" si="28"/>
        <v>0</v>
      </c>
      <c r="T64" s="638">
        <f t="shared" si="29"/>
        <v>0</v>
      </c>
      <c r="U64" s="640">
        <f t="shared" si="30"/>
        <v>0</v>
      </c>
    </row>
    <row r="65" spans="2:21" ht="15" customHeight="1" x14ac:dyDescent="0.2">
      <c r="B65" s="633"/>
      <c r="C65" s="634" t="s">
        <v>469</v>
      </c>
      <c r="D65" s="780" t="s">
        <v>469</v>
      </c>
      <c r="E65" s="781"/>
      <c r="F65" s="635"/>
      <c r="G65" s="635"/>
      <c r="H65" s="636"/>
      <c r="I65" s="636"/>
      <c r="J65" s="637"/>
      <c r="K65" s="780"/>
      <c r="L65" s="782"/>
      <c r="M65" s="781"/>
      <c r="N65" s="638">
        <f t="shared" si="25"/>
        <v>0</v>
      </c>
      <c r="O65" s="639">
        <v>1</v>
      </c>
      <c r="P65" s="638">
        <f t="shared" si="26"/>
        <v>0</v>
      </c>
      <c r="Q65" s="638">
        <f t="shared" si="27"/>
        <v>0</v>
      </c>
      <c r="R65" s="639">
        <v>1</v>
      </c>
      <c r="S65" s="638">
        <f t="shared" si="28"/>
        <v>0</v>
      </c>
      <c r="T65" s="638">
        <f t="shared" si="29"/>
        <v>0</v>
      </c>
      <c r="U65" s="640">
        <f t="shared" si="30"/>
        <v>0</v>
      </c>
    </row>
    <row r="66" spans="2:21" ht="15" customHeight="1" x14ac:dyDescent="0.2">
      <c r="B66" s="633"/>
      <c r="C66" s="634" t="s">
        <v>469</v>
      </c>
      <c r="D66" s="780" t="s">
        <v>469</v>
      </c>
      <c r="E66" s="781"/>
      <c r="F66" s="635"/>
      <c r="G66" s="635"/>
      <c r="H66" s="636"/>
      <c r="I66" s="636"/>
      <c r="J66" s="637"/>
      <c r="K66" s="780"/>
      <c r="L66" s="782"/>
      <c r="M66" s="781"/>
      <c r="N66" s="638">
        <f t="shared" si="25"/>
        <v>0</v>
      </c>
      <c r="O66" s="639">
        <v>1</v>
      </c>
      <c r="P66" s="638">
        <f t="shared" si="26"/>
        <v>0</v>
      </c>
      <c r="Q66" s="638">
        <f t="shared" si="27"/>
        <v>0</v>
      </c>
      <c r="R66" s="639">
        <v>1</v>
      </c>
      <c r="S66" s="638">
        <f t="shared" si="28"/>
        <v>0</v>
      </c>
      <c r="T66" s="638">
        <f t="shared" si="29"/>
        <v>0</v>
      </c>
      <c r="U66" s="640">
        <f t="shared" si="30"/>
        <v>0</v>
      </c>
    </row>
    <row r="67" spans="2:21" ht="15" customHeight="1" x14ac:dyDescent="0.2">
      <c r="B67" s="633"/>
      <c r="C67" s="634" t="s">
        <v>469</v>
      </c>
      <c r="D67" s="780" t="s">
        <v>469</v>
      </c>
      <c r="E67" s="781"/>
      <c r="F67" s="635"/>
      <c r="G67" s="635"/>
      <c r="H67" s="636"/>
      <c r="I67" s="636"/>
      <c r="J67" s="637"/>
      <c r="K67" s="780"/>
      <c r="L67" s="782"/>
      <c r="M67" s="781"/>
      <c r="N67" s="638">
        <f t="shared" si="25"/>
        <v>0</v>
      </c>
      <c r="O67" s="639">
        <v>1</v>
      </c>
      <c r="P67" s="638">
        <f t="shared" si="26"/>
        <v>0</v>
      </c>
      <c r="Q67" s="638">
        <f t="shared" si="27"/>
        <v>0</v>
      </c>
      <c r="R67" s="639">
        <v>1</v>
      </c>
      <c r="S67" s="638">
        <f t="shared" si="28"/>
        <v>0</v>
      </c>
      <c r="T67" s="638">
        <f t="shared" si="29"/>
        <v>0</v>
      </c>
      <c r="U67" s="640">
        <f t="shared" si="30"/>
        <v>0</v>
      </c>
    </row>
    <row r="68" spans="2:21" ht="15" customHeight="1" x14ac:dyDescent="0.2">
      <c r="B68" s="633"/>
      <c r="C68" s="634" t="s">
        <v>469</v>
      </c>
      <c r="D68" s="780" t="s">
        <v>469</v>
      </c>
      <c r="E68" s="781"/>
      <c r="F68" s="635"/>
      <c r="G68" s="635"/>
      <c r="H68" s="636"/>
      <c r="I68" s="636"/>
      <c r="J68" s="637"/>
      <c r="K68" s="780"/>
      <c r="L68" s="782"/>
      <c r="M68" s="781"/>
      <c r="N68" s="638">
        <f t="shared" si="25"/>
        <v>0</v>
      </c>
      <c r="O68" s="639">
        <v>1</v>
      </c>
      <c r="P68" s="638">
        <f t="shared" si="26"/>
        <v>0</v>
      </c>
      <c r="Q68" s="638">
        <f t="shared" si="27"/>
        <v>0</v>
      </c>
      <c r="R68" s="639">
        <v>1</v>
      </c>
      <c r="S68" s="638">
        <f t="shared" si="28"/>
        <v>0</v>
      </c>
      <c r="T68" s="638">
        <f t="shared" si="29"/>
        <v>0</v>
      </c>
      <c r="U68" s="640">
        <f t="shared" si="30"/>
        <v>0</v>
      </c>
    </row>
    <row r="69" spans="2:21" ht="15" customHeight="1" x14ac:dyDescent="0.2">
      <c r="B69" s="633"/>
      <c r="C69" s="634" t="s">
        <v>469</v>
      </c>
      <c r="D69" s="780" t="s">
        <v>469</v>
      </c>
      <c r="E69" s="781"/>
      <c r="F69" s="635"/>
      <c r="G69" s="635"/>
      <c r="H69" s="636"/>
      <c r="I69" s="636"/>
      <c r="J69" s="637"/>
      <c r="K69" s="780"/>
      <c r="L69" s="782"/>
      <c r="M69" s="781"/>
      <c r="N69" s="638">
        <f t="shared" si="25"/>
        <v>0</v>
      </c>
      <c r="O69" s="639">
        <v>1</v>
      </c>
      <c r="P69" s="638">
        <f t="shared" si="26"/>
        <v>0</v>
      </c>
      <c r="Q69" s="638">
        <f t="shared" si="27"/>
        <v>0</v>
      </c>
      <c r="R69" s="639">
        <v>1</v>
      </c>
      <c r="S69" s="638">
        <f t="shared" si="28"/>
        <v>0</v>
      </c>
      <c r="T69" s="638">
        <f t="shared" si="29"/>
        <v>0</v>
      </c>
      <c r="U69" s="640">
        <f t="shared" si="30"/>
        <v>0</v>
      </c>
    </row>
    <row r="70" spans="2:21" ht="15" customHeight="1" x14ac:dyDescent="0.2">
      <c r="B70" s="633"/>
      <c r="C70" s="634" t="s">
        <v>469</v>
      </c>
      <c r="D70" s="780" t="s">
        <v>469</v>
      </c>
      <c r="E70" s="781"/>
      <c r="F70" s="635"/>
      <c r="G70" s="635"/>
      <c r="H70" s="636"/>
      <c r="I70" s="636"/>
      <c r="J70" s="637"/>
      <c r="K70" s="780"/>
      <c r="L70" s="782"/>
      <c r="M70" s="781"/>
      <c r="N70" s="638">
        <f t="shared" si="25"/>
        <v>0</v>
      </c>
      <c r="O70" s="639">
        <v>1</v>
      </c>
      <c r="P70" s="638">
        <f t="shared" si="26"/>
        <v>0</v>
      </c>
      <c r="Q70" s="638">
        <f t="shared" si="27"/>
        <v>0</v>
      </c>
      <c r="R70" s="639">
        <v>1</v>
      </c>
      <c r="S70" s="638">
        <f t="shared" si="28"/>
        <v>0</v>
      </c>
      <c r="T70" s="638">
        <f t="shared" si="29"/>
        <v>0</v>
      </c>
      <c r="U70" s="640">
        <f t="shared" si="30"/>
        <v>0</v>
      </c>
    </row>
    <row r="71" spans="2:21" ht="15" customHeight="1" x14ac:dyDescent="0.2">
      <c r="B71" s="633"/>
      <c r="C71" s="634" t="s">
        <v>469</v>
      </c>
      <c r="D71" s="780" t="s">
        <v>469</v>
      </c>
      <c r="E71" s="781"/>
      <c r="F71" s="635"/>
      <c r="G71" s="635"/>
      <c r="H71" s="636"/>
      <c r="I71" s="636"/>
      <c r="J71" s="637"/>
      <c r="K71" s="780"/>
      <c r="L71" s="782"/>
      <c r="M71" s="781"/>
      <c r="N71" s="638">
        <f t="shared" si="25"/>
        <v>0</v>
      </c>
      <c r="O71" s="639">
        <v>1</v>
      </c>
      <c r="P71" s="638">
        <f t="shared" si="26"/>
        <v>0</v>
      </c>
      <c r="Q71" s="638">
        <f t="shared" si="27"/>
        <v>0</v>
      </c>
      <c r="R71" s="639">
        <v>1</v>
      </c>
      <c r="S71" s="638">
        <f t="shared" si="28"/>
        <v>0</v>
      </c>
      <c r="T71" s="638">
        <f t="shared" si="29"/>
        <v>0</v>
      </c>
      <c r="U71" s="640">
        <f t="shared" si="30"/>
        <v>0</v>
      </c>
    </row>
    <row r="72" spans="2:21" ht="15" customHeight="1" x14ac:dyDescent="0.2">
      <c r="B72" s="633"/>
      <c r="C72" s="634" t="s">
        <v>469</v>
      </c>
      <c r="D72" s="780" t="s">
        <v>469</v>
      </c>
      <c r="E72" s="781"/>
      <c r="F72" s="635"/>
      <c r="G72" s="635"/>
      <c r="H72" s="636"/>
      <c r="I72" s="636"/>
      <c r="J72" s="637"/>
      <c r="K72" s="780"/>
      <c r="L72" s="782"/>
      <c r="M72" s="781"/>
      <c r="N72" s="638">
        <f t="shared" si="25"/>
        <v>0</v>
      </c>
      <c r="O72" s="639">
        <v>1</v>
      </c>
      <c r="P72" s="638">
        <f t="shared" si="26"/>
        <v>0</v>
      </c>
      <c r="Q72" s="638">
        <f t="shared" si="27"/>
        <v>0</v>
      </c>
      <c r="R72" s="639">
        <v>1</v>
      </c>
      <c r="S72" s="638">
        <f t="shared" si="28"/>
        <v>0</v>
      </c>
      <c r="T72" s="638">
        <f t="shared" si="29"/>
        <v>0</v>
      </c>
      <c r="U72" s="640">
        <f t="shared" si="30"/>
        <v>0</v>
      </c>
    </row>
    <row r="73" spans="2:21" ht="15" customHeight="1" x14ac:dyDescent="0.2">
      <c r="B73" s="633"/>
      <c r="C73" s="634" t="s">
        <v>469</v>
      </c>
      <c r="D73" s="780" t="s">
        <v>469</v>
      </c>
      <c r="E73" s="781"/>
      <c r="F73" s="635"/>
      <c r="G73" s="635"/>
      <c r="H73" s="636"/>
      <c r="I73" s="636"/>
      <c r="J73" s="637"/>
      <c r="K73" s="780"/>
      <c r="L73" s="782"/>
      <c r="M73" s="781"/>
      <c r="N73" s="638">
        <f t="shared" si="25"/>
        <v>0</v>
      </c>
      <c r="O73" s="639">
        <v>1</v>
      </c>
      <c r="P73" s="638">
        <f t="shared" si="26"/>
        <v>0</v>
      </c>
      <c r="Q73" s="638">
        <f t="shared" si="27"/>
        <v>0</v>
      </c>
      <c r="R73" s="639">
        <v>1</v>
      </c>
      <c r="S73" s="638">
        <f t="shared" si="28"/>
        <v>0</v>
      </c>
      <c r="T73" s="638">
        <f t="shared" si="29"/>
        <v>0</v>
      </c>
      <c r="U73" s="640">
        <f t="shared" si="30"/>
        <v>0</v>
      </c>
    </row>
    <row r="74" spans="2:21" ht="15" customHeight="1" x14ac:dyDescent="0.2">
      <c r="B74" s="633"/>
      <c r="C74" s="634" t="s">
        <v>469</v>
      </c>
      <c r="D74" s="780" t="s">
        <v>469</v>
      </c>
      <c r="E74" s="781"/>
      <c r="F74" s="635"/>
      <c r="G74" s="635"/>
      <c r="H74" s="636"/>
      <c r="I74" s="636"/>
      <c r="J74" s="637"/>
      <c r="K74" s="780"/>
      <c r="L74" s="782"/>
      <c r="M74" s="781"/>
      <c r="N74" s="638">
        <f t="shared" si="25"/>
        <v>0</v>
      </c>
      <c r="O74" s="639">
        <v>1</v>
      </c>
      <c r="P74" s="638">
        <f t="shared" si="26"/>
        <v>0</v>
      </c>
      <c r="Q74" s="638">
        <f t="shared" si="27"/>
        <v>0</v>
      </c>
      <c r="R74" s="639">
        <v>1</v>
      </c>
      <c r="S74" s="638">
        <f t="shared" si="28"/>
        <v>0</v>
      </c>
      <c r="T74" s="638">
        <f t="shared" si="29"/>
        <v>0</v>
      </c>
      <c r="U74" s="640">
        <f t="shared" si="30"/>
        <v>0</v>
      </c>
    </row>
    <row r="75" spans="2:21" ht="15" customHeight="1" x14ac:dyDescent="0.2">
      <c r="B75" s="633"/>
      <c r="C75" s="634" t="s">
        <v>469</v>
      </c>
      <c r="D75" s="780" t="s">
        <v>469</v>
      </c>
      <c r="E75" s="781"/>
      <c r="F75" s="635"/>
      <c r="G75" s="635"/>
      <c r="H75" s="636"/>
      <c r="I75" s="636"/>
      <c r="J75" s="637"/>
      <c r="K75" s="780"/>
      <c r="L75" s="782"/>
      <c r="M75" s="781"/>
      <c r="N75" s="638">
        <f t="shared" si="25"/>
        <v>0</v>
      </c>
      <c r="O75" s="639">
        <v>1</v>
      </c>
      <c r="P75" s="638">
        <f t="shared" si="26"/>
        <v>0</v>
      </c>
      <c r="Q75" s="638">
        <f t="shared" si="27"/>
        <v>0</v>
      </c>
      <c r="R75" s="639">
        <v>1</v>
      </c>
      <c r="S75" s="638">
        <f t="shared" si="28"/>
        <v>0</v>
      </c>
      <c r="T75" s="638">
        <f t="shared" si="29"/>
        <v>0</v>
      </c>
      <c r="U75" s="640">
        <f t="shared" si="30"/>
        <v>0</v>
      </c>
    </row>
    <row r="76" spans="2:21" ht="15" customHeight="1" x14ac:dyDescent="0.2">
      <c r="B76" s="633"/>
      <c r="C76" s="634" t="s">
        <v>469</v>
      </c>
      <c r="D76" s="780" t="s">
        <v>469</v>
      </c>
      <c r="E76" s="781"/>
      <c r="F76" s="635"/>
      <c r="G76" s="635"/>
      <c r="H76" s="636"/>
      <c r="I76" s="636"/>
      <c r="J76" s="637"/>
      <c r="K76" s="780"/>
      <c r="L76" s="782"/>
      <c r="M76" s="781"/>
      <c r="N76" s="638">
        <f t="shared" si="25"/>
        <v>0</v>
      </c>
      <c r="O76" s="639">
        <v>1</v>
      </c>
      <c r="P76" s="638">
        <f t="shared" si="26"/>
        <v>0</v>
      </c>
      <c r="Q76" s="638">
        <f t="shared" si="27"/>
        <v>0</v>
      </c>
      <c r="R76" s="639">
        <v>1</v>
      </c>
      <c r="S76" s="638">
        <f t="shared" si="28"/>
        <v>0</v>
      </c>
      <c r="T76" s="638">
        <f t="shared" si="29"/>
        <v>0</v>
      </c>
      <c r="U76" s="640">
        <f t="shared" si="30"/>
        <v>0</v>
      </c>
    </row>
    <row r="77" spans="2:21" ht="15" customHeight="1" x14ac:dyDescent="0.2">
      <c r="B77" s="633"/>
      <c r="C77" s="634" t="s">
        <v>469</v>
      </c>
      <c r="D77" s="780" t="s">
        <v>469</v>
      </c>
      <c r="E77" s="781"/>
      <c r="F77" s="635"/>
      <c r="G77" s="635"/>
      <c r="H77" s="636"/>
      <c r="I77" s="636"/>
      <c r="J77" s="637"/>
      <c r="K77" s="780"/>
      <c r="L77" s="782"/>
      <c r="M77" s="781"/>
      <c r="N77" s="638">
        <f t="shared" si="25"/>
        <v>0</v>
      </c>
      <c r="O77" s="639">
        <v>1</v>
      </c>
      <c r="P77" s="638">
        <f t="shared" si="26"/>
        <v>0</v>
      </c>
      <c r="Q77" s="638">
        <f t="shared" si="27"/>
        <v>0</v>
      </c>
      <c r="R77" s="639">
        <v>1</v>
      </c>
      <c r="S77" s="638">
        <f t="shared" si="28"/>
        <v>0</v>
      </c>
      <c r="T77" s="638">
        <f t="shared" si="29"/>
        <v>0</v>
      </c>
      <c r="U77" s="640">
        <f t="shared" si="30"/>
        <v>0</v>
      </c>
    </row>
    <row r="78" spans="2:21" ht="15" customHeight="1" x14ac:dyDescent="0.2">
      <c r="B78" s="633"/>
      <c r="C78" s="634" t="s">
        <v>469</v>
      </c>
      <c r="D78" s="780" t="s">
        <v>469</v>
      </c>
      <c r="E78" s="781"/>
      <c r="F78" s="635"/>
      <c r="G78" s="635"/>
      <c r="H78" s="636"/>
      <c r="I78" s="636"/>
      <c r="J78" s="637"/>
      <c r="K78" s="780"/>
      <c r="L78" s="782"/>
      <c r="M78" s="781"/>
      <c r="N78" s="638">
        <f t="shared" si="25"/>
        <v>0</v>
      </c>
      <c r="O78" s="639">
        <v>1</v>
      </c>
      <c r="P78" s="638">
        <f t="shared" si="26"/>
        <v>0</v>
      </c>
      <c r="Q78" s="638">
        <f t="shared" si="27"/>
        <v>0</v>
      </c>
      <c r="R78" s="639">
        <v>1</v>
      </c>
      <c r="S78" s="638">
        <f t="shared" si="28"/>
        <v>0</v>
      </c>
      <c r="T78" s="638">
        <f t="shared" si="29"/>
        <v>0</v>
      </c>
      <c r="U78" s="640">
        <f t="shared" si="30"/>
        <v>0</v>
      </c>
    </row>
    <row r="79" spans="2:21" ht="15" customHeight="1" x14ac:dyDescent="0.2">
      <c r="B79" s="633"/>
      <c r="C79" s="634" t="s">
        <v>469</v>
      </c>
      <c r="D79" s="780" t="s">
        <v>469</v>
      </c>
      <c r="E79" s="781"/>
      <c r="F79" s="635"/>
      <c r="G79" s="635"/>
      <c r="H79" s="636"/>
      <c r="I79" s="636"/>
      <c r="J79" s="637"/>
      <c r="K79" s="642"/>
      <c r="L79" s="643"/>
      <c r="M79" s="644"/>
      <c r="N79" s="638">
        <f t="shared" si="25"/>
        <v>0</v>
      </c>
      <c r="O79" s="639">
        <v>1</v>
      </c>
      <c r="P79" s="638">
        <f t="shared" si="26"/>
        <v>0</v>
      </c>
      <c r="Q79" s="638">
        <f t="shared" si="27"/>
        <v>0</v>
      </c>
      <c r="R79" s="639">
        <v>1</v>
      </c>
      <c r="S79" s="638">
        <f t="shared" si="28"/>
        <v>0</v>
      </c>
      <c r="T79" s="638">
        <f t="shared" si="29"/>
        <v>0</v>
      </c>
      <c r="U79" s="640">
        <f t="shared" si="30"/>
        <v>0</v>
      </c>
    </row>
    <row r="80" spans="2:21" ht="15" customHeight="1" x14ac:dyDescent="0.2">
      <c r="B80" s="633"/>
      <c r="C80" s="634" t="s">
        <v>469</v>
      </c>
      <c r="D80" s="780" t="s">
        <v>469</v>
      </c>
      <c r="E80" s="781"/>
      <c r="F80" s="635"/>
      <c r="G80" s="635"/>
      <c r="H80" s="636"/>
      <c r="I80" s="636"/>
      <c r="J80" s="637"/>
      <c r="K80" s="642"/>
      <c r="L80" s="643"/>
      <c r="M80" s="644"/>
      <c r="N80" s="638">
        <f t="shared" si="25"/>
        <v>0</v>
      </c>
      <c r="O80" s="639">
        <v>1</v>
      </c>
      <c r="P80" s="638">
        <f t="shared" si="26"/>
        <v>0</v>
      </c>
      <c r="Q80" s="638">
        <f t="shared" si="27"/>
        <v>0</v>
      </c>
      <c r="R80" s="639">
        <v>1</v>
      </c>
      <c r="S80" s="638">
        <f t="shared" si="28"/>
        <v>0</v>
      </c>
      <c r="T80" s="638">
        <f t="shared" si="29"/>
        <v>0</v>
      </c>
      <c r="U80" s="640">
        <f t="shared" si="30"/>
        <v>0</v>
      </c>
    </row>
    <row r="81" spans="2:21" ht="15" customHeight="1" x14ac:dyDescent="0.2">
      <c r="B81" s="633"/>
      <c r="C81" s="634" t="s">
        <v>469</v>
      </c>
      <c r="D81" s="780" t="s">
        <v>469</v>
      </c>
      <c r="E81" s="781"/>
      <c r="F81" s="635"/>
      <c r="G81" s="635"/>
      <c r="H81" s="636"/>
      <c r="I81" s="636"/>
      <c r="J81" s="637"/>
      <c r="K81" s="642"/>
      <c r="L81" s="643"/>
      <c r="M81" s="644"/>
      <c r="N81" s="638">
        <f t="shared" si="25"/>
        <v>0</v>
      </c>
      <c r="O81" s="639">
        <v>1</v>
      </c>
      <c r="P81" s="638">
        <f t="shared" si="26"/>
        <v>0</v>
      </c>
      <c r="Q81" s="638">
        <f t="shared" si="27"/>
        <v>0</v>
      </c>
      <c r="R81" s="639">
        <v>1</v>
      </c>
      <c r="S81" s="638">
        <f t="shared" si="28"/>
        <v>0</v>
      </c>
      <c r="T81" s="638">
        <f t="shared" si="29"/>
        <v>0</v>
      </c>
      <c r="U81" s="640">
        <f t="shared" si="30"/>
        <v>0</v>
      </c>
    </row>
    <row r="82" spans="2:21" ht="15" customHeight="1" x14ac:dyDescent="0.2">
      <c r="B82" s="633"/>
      <c r="C82" s="634" t="s">
        <v>469</v>
      </c>
      <c r="D82" s="780" t="s">
        <v>469</v>
      </c>
      <c r="E82" s="781"/>
      <c r="F82" s="635"/>
      <c r="G82" s="635"/>
      <c r="H82" s="636"/>
      <c r="I82" s="636"/>
      <c r="J82" s="637"/>
      <c r="K82" s="642"/>
      <c r="L82" s="643"/>
      <c r="M82" s="644"/>
      <c r="N82" s="638">
        <f t="shared" si="25"/>
        <v>0</v>
      </c>
      <c r="O82" s="639">
        <v>1</v>
      </c>
      <c r="P82" s="638">
        <f t="shared" si="26"/>
        <v>0</v>
      </c>
      <c r="Q82" s="638">
        <f t="shared" si="27"/>
        <v>0</v>
      </c>
      <c r="R82" s="639">
        <v>1</v>
      </c>
      <c r="S82" s="638">
        <f t="shared" si="28"/>
        <v>0</v>
      </c>
      <c r="T82" s="638">
        <f t="shared" si="29"/>
        <v>0</v>
      </c>
      <c r="U82" s="640">
        <f t="shared" si="30"/>
        <v>0</v>
      </c>
    </row>
    <row r="83" spans="2:21" ht="15" customHeight="1" x14ac:dyDescent="0.2">
      <c r="B83" s="633"/>
      <c r="C83" s="634" t="s">
        <v>469</v>
      </c>
      <c r="D83" s="780" t="s">
        <v>469</v>
      </c>
      <c r="E83" s="781"/>
      <c r="F83" s="635"/>
      <c r="G83" s="635"/>
      <c r="H83" s="636"/>
      <c r="I83" s="636"/>
      <c r="J83" s="637"/>
      <c r="K83" s="642"/>
      <c r="L83" s="643"/>
      <c r="M83" s="644"/>
      <c r="N83" s="638">
        <f t="shared" si="25"/>
        <v>0</v>
      </c>
      <c r="O83" s="639">
        <v>1</v>
      </c>
      <c r="P83" s="638">
        <f t="shared" si="26"/>
        <v>0</v>
      </c>
      <c r="Q83" s="638">
        <f t="shared" si="27"/>
        <v>0</v>
      </c>
      <c r="R83" s="639">
        <v>1</v>
      </c>
      <c r="S83" s="638">
        <f t="shared" si="28"/>
        <v>0</v>
      </c>
      <c r="T83" s="638">
        <f t="shared" si="29"/>
        <v>0</v>
      </c>
      <c r="U83" s="640">
        <f t="shared" si="30"/>
        <v>0</v>
      </c>
    </row>
    <row r="84" spans="2:21" ht="15" customHeight="1" x14ac:dyDescent="0.2">
      <c r="B84" s="633"/>
      <c r="C84" s="634" t="s">
        <v>469</v>
      </c>
      <c r="D84" s="780" t="s">
        <v>469</v>
      </c>
      <c r="E84" s="781"/>
      <c r="F84" s="635"/>
      <c r="G84" s="635"/>
      <c r="H84" s="636"/>
      <c r="I84" s="636"/>
      <c r="J84" s="637"/>
      <c r="K84" s="642"/>
      <c r="L84" s="643"/>
      <c r="M84" s="644"/>
      <c r="N84" s="638">
        <f t="shared" si="25"/>
        <v>0</v>
      </c>
      <c r="O84" s="639">
        <v>1</v>
      </c>
      <c r="P84" s="638">
        <f t="shared" si="26"/>
        <v>0</v>
      </c>
      <c r="Q84" s="638">
        <f t="shared" si="27"/>
        <v>0</v>
      </c>
      <c r="R84" s="639">
        <v>1</v>
      </c>
      <c r="S84" s="638">
        <f t="shared" si="28"/>
        <v>0</v>
      </c>
      <c r="T84" s="638">
        <f t="shared" si="29"/>
        <v>0</v>
      </c>
      <c r="U84" s="640">
        <f t="shared" si="30"/>
        <v>0</v>
      </c>
    </row>
    <row r="85" spans="2:21" ht="15" customHeight="1" x14ac:dyDescent="0.2">
      <c r="B85" s="633"/>
      <c r="C85" s="634" t="s">
        <v>469</v>
      </c>
      <c r="D85" s="780" t="s">
        <v>469</v>
      </c>
      <c r="E85" s="781"/>
      <c r="F85" s="635"/>
      <c r="G85" s="635"/>
      <c r="H85" s="636"/>
      <c r="I85" s="636"/>
      <c r="J85" s="637"/>
      <c r="K85" s="642"/>
      <c r="L85" s="643"/>
      <c r="M85" s="644"/>
      <c r="N85" s="638">
        <f t="shared" si="25"/>
        <v>0</v>
      </c>
      <c r="O85" s="639">
        <v>1</v>
      </c>
      <c r="P85" s="638">
        <f t="shared" si="26"/>
        <v>0</v>
      </c>
      <c r="Q85" s="638">
        <f t="shared" si="27"/>
        <v>0</v>
      </c>
      <c r="R85" s="639">
        <v>1</v>
      </c>
      <c r="S85" s="638">
        <f t="shared" si="28"/>
        <v>0</v>
      </c>
      <c r="T85" s="638">
        <f t="shared" si="29"/>
        <v>0</v>
      </c>
      <c r="U85" s="640">
        <f t="shared" si="30"/>
        <v>0</v>
      </c>
    </row>
    <row r="86" spans="2:21" ht="15" customHeight="1" x14ac:dyDescent="0.2">
      <c r="B86" s="633"/>
      <c r="C86" s="634" t="s">
        <v>469</v>
      </c>
      <c r="D86" s="780" t="s">
        <v>469</v>
      </c>
      <c r="E86" s="781"/>
      <c r="F86" s="635"/>
      <c r="G86" s="635"/>
      <c r="H86" s="636"/>
      <c r="I86" s="636"/>
      <c r="J86" s="637"/>
      <c r="K86" s="642"/>
      <c r="L86" s="643"/>
      <c r="M86" s="644"/>
      <c r="N86" s="638">
        <f t="shared" si="25"/>
        <v>0</v>
      </c>
      <c r="O86" s="639">
        <v>1</v>
      </c>
      <c r="P86" s="638">
        <f t="shared" si="26"/>
        <v>0</v>
      </c>
      <c r="Q86" s="638">
        <f t="shared" si="27"/>
        <v>0</v>
      </c>
      <c r="R86" s="639">
        <v>1</v>
      </c>
      <c r="S86" s="638">
        <f t="shared" si="28"/>
        <v>0</v>
      </c>
      <c r="T86" s="638">
        <f t="shared" si="29"/>
        <v>0</v>
      </c>
      <c r="U86" s="640">
        <f t="shared" si="30"/>
        <v>0</v>
      </c>
    </row>
    <row r="87" spans="2:21" ht="15" customHeight="1" x14ac:dyDescent="0.2">
      <c r="B87" s="633"/>
      <c r="C87" s="634" t="s">
        <v>469</v>
      </c>
      <c r="D87" s="780" t="s">
        <v>469</v>
      </c>
      <c r="E87" s="781"/>
      <c r="F87" s="635"/>
      <c r="G87" s="635"/>
      <c r="H87" s="636"/>
      <c r="I87" s="636"/>
      <c r="J87" s="637"/>
      <c r="K87" s="642"/>
      <c r="L87" s="643"/>
      <c r="M87" s="644"/>
      <c r="N87" s="638">
        <f t="shared" si="25"/>
        <v>0</v>
      </c>
      <c r="O87" s="639">
        <v>1</v>
      </c>
      <c r="P87" s="638">
        <f t="shared" si="26"/>
        <v>0</v>
      </c>
      <c r="Q87" s="638">
        <f t="shared" si="27"/>
        <v>0</v>
      </c>
      <c r="R87" s="639">
        <v>1</v>
      </c>
      <c r="S87" s="638">
        <f t="shared" si="28"/>
        <v>0</v>
      </c>
      <c r="T87" s="638">
        <f t="shared" si="29"/>
        <v>0</v>
      </c>
      <c r="U87" s="640">
        <f t="shared" si="30"/>
        <v>0</v>
      </c>
    </row>
    <row r="88" spans="2:21" ht="15" customHeight="1" x14ac:dyDescent="0.2">
      <c r="B88" s="633"/>
      <c r="C88" s="634" t="s">
        <v>469</v>
      </c>
      <c r="D88" s="780" t="s">
        <v>469</v>
      </c>
      <c r="E88" s="781"/>
      <c r="F88" s="635"/>
      <c r="G88" s="635"/>
      <c r="H88" s="636"/>
      <c r="I88" s="636"/>
      <c r="J88" s="637"/>
      <c r="K88" s="642"/>
      <c r="L88" s="643"/>
      <c r="M88" s="644"/>
      <c r="N88" s="638">
        <f t="shared" si="25"/>
        <v>0</v>
      </c>
      <c r="O88" s="639">
        <v>1</v>
      </c>
      <c r="P88" s="638">
        <f t="shared" si="26"/>
        <v>0</v>
      </c>
      <c r="Q88" s="638">
        <f t="shared" si="27"/>
        <v>0</v>
      </c>
      <c r="R88" s="639">
        <v>1</v>
      </c>
      <c r="S88" s="638">
        <f t="shared" si="28"/>
        <v>0</v>
      </c>
      <c r="T88" s="638">
        <f t="shared" si="29"/>
        <v>0</v>
      </c>
      <c r="U88" s="640">
        <f t="shared" si="30"/>
        <v>0</v>
      </c>
    </row>
    <row r="89" spans="2:21" ht="15" customHeight="1" x14ac:dyDescent="0.2">
      <c r="B89" s="633"/>
      <c r="C89" s="634" t="s">
        <v>469</v>
      </c>
      <c r="D89" s="780" t="s">
        <v>469</v>
      </c>
      <c r="E89" s="781"/>
      <c r="F89" s="635"/>
      <c r="G89" s="635"/>
      <c r="H89" s="636"/>
      <c r="I89" s="636"/>
      <c r="J89" s="637"/>
      <c r="K89" s="642"/>
      <c r="L89" s="643"/>
      <c r="M89" s="644"/>
      <c r="N89" s="638">
        <f t="shared" si="25"/>
        <v>0</v>
      </c>
      <c r="O89" s="639">
        <v>1</v>
      </c>
      <c r="P89" s="638">
        <f t="shared" si="26"/>
        <v>0</v>
      </c>
      <c r="Q89" s="638">
        <f t="shared" si="27"/>
        <v>0</v>
      </c>
      <c r="R89" s="639">
        <v>1</v>
      </c>
      <c r="S89" s="638">
        <f t="shared" si="28"/>
        <v>0</v>
      </c>
      <c r="T89" s="638">
        <f t="shared" si="29"/>
        <v>0</v>
      </c>
      <c r="U89" s="640">
        <f t="shared" si="30"/>
        <v>0</v>
      </c>
    </row>
    <row r="90" spans="2:21" ht="15" customHeight="1" x14ac:dyDescent="0.2">
      <c r="B90" s="633"/>
      <c r="C90" s="634" t="s">
        <v>469</v>
      </c>
      <c r="D90" s="780" t="s">
        <v>469</v>
      </c>
      <c r="E90" s="781"/>
      <c r="F90" s="635"/>
      <c r="G90" s="635"/>
      <c r="H90" s="636"/>
      <c r="I90" s="636"/>
      <c r="J90" s="637"/>
      <c r="K90" s="642"/>
      <c r="L90" s="643"/>
      <c r="M90" s="644"/>
      <c r="N90" s="638">
        <f t="shared" si="25"/>
        <v>0</v>
      </c>
      <c r="O90" s="639">
        <v>1</v>
      </c>
      <c r="P90" s="638">
        <f t="shared" si="26"/>
        <v>0</v>
      </c>
      <c r="Q90" s="638">
        <f t="shared" si="27"/>
        <v>0</v>
      </c>
      <c r="R90" s="639">
        <v>1</v>
      </c>
      <c r="S90" s="638">
        <f t="shared" si="28"/>
        <v>0</v>
      </c>
      <c r="T90" s="638">
        <f t="shared" si="29"/>
        <v>0</v>
      </c>
      <c r="U90" s="640">
        <f t="shared" si="30"/>
        <v>0</v>
      </c>
    </row>
    <row r="91" spans="2:21" ht="15" customHeight="1" x14ac:dyDescent="0.2">
      <c r="B91" s="633"/>
      <c r="C91" s="634" t="s">
        <v>469</v>
      </c>
      <c r="D91" s="780" t="s">
        <v>469</v>
      </c>
      <c r="E91" s="781"/>
      <c r="F91" s="635"/>
      <c r="G91" s="635"/>
      <c r="H91" s="636"/>
      <c r="I91" s="636"/>
      <c r="J91" s="637"/>
      <c r="K91" s="642"/>
      <c r="L91" s="643"/>
      <c r="M91" s="644"/>
      <c r="N91" s="638">
        <f t="shared" ref="N91:N122" si="31">$F91*$H91</f>
        <v>0</v>
      </c>
      <c r="O91" s="639">
        <v>1</v>
      </c>
      <c r="P91" s="638">
        <f t="shared" ref="P91:P122" si="32">N91*O91</f>
        <v>0</v>
      </c>
      <c r="Q91" s="638">
        <f t="shared" ref="Q91:Q122" si="33">$G91*$I91/100</f>
        <v>0</v>
      </c>
      <c r="R91" s="639">
        <v>1</v>
      </c>
      <c r="S91" s="638">
        <f t="shared" ref="S91:S122" si="34">Q91*R91</f>
        <v>0</v>
      </c>
      <c r="T91" s="638">
        <f t="shared" ref="T91:T122" si="35">N91+Q91</f>
        <v>0</v>
      </c>
      <c r="U91" s="640">
        <f t="shared" ref="U91:U122" si="36">P91+S91</f>
        <v>0</v>
      </c>
    </row>
    <row r="92" spans="2:21" ht="15" customHeight="1" x14ac:dyDescent="0.2">
      <c r="B92" s="633"/>
      <c r="C92" s="634" t="s">
        <v>469</v>
      </c>
      <c r="D92" s="780" t="s">
        <v>469</v>
      </c>
      <c r="E92" s="781"/>
      <c r="F92" s="635"/>
      <c r="G92" s="635"/>
      <c r="H92" s="636"/>
      <c r="I92" s="636"/>
      <c r="J92" s="637"/>
      <c r="K92" s="642"/>
      <c r="L92" s="643"/>
      <c r="M92" s="644"/>
      <c r="N92" s="638">
        <f t="shared" si="31"/>
        <v>0</v>
      </c>
      <c r="O92" s="639">
        <v>1</v>
      </c>
      <c r="P92" s="638">
        <f t="shared" si="32"/>
        <v>0</v>
      </c>
      <c r="Q92" s="638">
        <f t="shared" si="33"/>
        <v>0</v>
      </c>
      <c r="R92" s="639">
        <v>1</v>
      </c>
      <c r="S92" s="638">
        <f t="shared" si="34"/>
        <v>0</v>
      </c>
      <c r="T92" s="638">
        <f t="shared" si="35"/>
        <v>0</v>
      </c>
      <c r="U92" s="640">
        <f t="shared" si="36"/>
        <v>0</v>
      </c>
    </row>
    <row r="93" spans="2:21" ht="15" customHeight="1" x14ac:dyDescent="0.2">
      <c r="B93" s="633"/>
      <c r="C93" s="634" t="s">
        <v>469</v>
      </c>
      <c r="D93" s="780" t="s">
        <v>469</v>
      </c>
      <c r="E93" s="781"/>
      <c r="F93" s="635"/>
      <c r="G93" s="635"/>
      <c r="H93" s="636"/>
      <c r="I93" s="636"/>
      <c r="J93" s="637"/>
      <c r="K93" s="642"/>
      <c r="L93" s="643"/>
      <c r="M93" s="644"/>
      <c r="N93" s="638">
        <f t="shared" si="31"/>
        <v>0</v>
      </c>
      <c r="O93" s="639">
        <v>1</v>
      </c>
      <c r="P93" s="638">
        <f t="shared" si="32"/>
        <v>0</v>
      </c>
      <c r="Q93" s="638">
        <f t="shared" si="33"/>
        <v>0</v>
      </c>
      <c r="R93" s="639">
        <v>1</v>
      </c>
      <c r="S93" s="638">
        <f t="shared" si="34"/>
        <v>0</v>
      </c>
      <c r="T93" s="638">
        <f t="shared" si="35"/>
        <v>0</v>
      </c>
      <c r="U93" s="640">
        <f t="shared" si="36"/>
        <v>0</v>
      </c>
    </row>
    <row r="94" spans="2:21" ht="15" customHeight="1" x14ac:dyDescent="0.2">
      <c r="B94" s="633"/>
      <c r="C94" s="634" t="s">
        <v>469</v>
      </c>
      <c r="D94" s="780" t="s">
        <v>469</v>
      </c>
      <c r="E94" s="781"/>
      <c r="F94" s="635"/>
      <c r="G94" s="635"/>
      <c r="H94" s="636"/>
      <c r="I94" s="636"/>
      <c r="J94" s="637"/>
      <c r="K94" s="642"/>
      <c r="L94" s="643"/>
      <c r="M94" s="644"/>
      <c r="N94" s="638">
        <f t="shared" si="31"/>
        <v>0</v>
      </c>
      <c r="O94" s="639">
        <v>1</v>
      </c>
      <c r="P94" s="638">
        <f t="shared" si="32"/>
        <v>0</v>
      </c>
      <c r="Q94" s="638">
        <f t="shared" si="33"/>
        <v>0</v>
      </c>
      <c r="R94" s="639">
        <v>1</v>
      </c>
      <c r="S94" s="638">
        <f t="shared" si="34"/>
        <v>0</v>
      </c>
      <c r="T94" s="638">
        <f t="shared" si="35"/>
        <v>0</v>
      </c>
      <c r="U94" s="640">
        <f t="shared" si="36"/>
        <v>0</v>
      </c>
    </row>
    <row r="95" spans="2:21" ht="15" customHeight="1" x14ac:dyDescent="0.2">
      <c r="B95" s="633"/>
      <c r="C95" s="634" t="s">
        <v>469</v>
      </c>
      <c r="D95" s="780" t="s">
        <v>469</v>
      </c>
      <c r="E95" s="781"/>
      <c r="F95" s="635"/>
      <c r="G95" s="635"/>
      <c r="H95" s="636"/>
      <c r="I95" s="636"/>
      <c r="J95" s="637"/>
      <c r="K95" s="642"/>
      <c r="L95" s="643"/>
      <c r="M95" s="644"/>
      <c r="N95" s="638">
        <f t="shared" si="31"/>
        <v>0</v>
      </c>
      <c r="O95" s="639">
        <v>1</v>
      </c>
      <c r="P95" s="638">
        <f t="shared" si="32"/>
        <v>0</v>
      </c>
      <c r="Q95" s="638">
        <f t="shared" si="33"/>
        <v>0</v>
      </c>
      <c r="R95" s="639">
        <v>1</v>
      </c>
      <c r="S95" s="638">
        <f t="shared" si="34"/>
        <v>0</v>
      </c>
      <c r="T95" s="638">
        <f t="shared" si="35"/>
        <v>0</v>
      </c>
      <c r="U95" s="640">
        <f t="shared" si="36"/>
        <v>0</v>
      </c>
    </row>
    <row r="96" spans="2:21" ht="15" customHeight="1" x14ac:dyDescent="0.2">
      <c r="B96" s="633"/>
      <c r="C96" s="634" t="s">
        <v>469</v>
      </c>
      <c r="D96" s="780" t="s">
        <v>469</v>
      </c>
      <c r="E96" s="781"/>
      <c r="F96" s="635"/>
      <c r="G96" s="635"/>
      <c r="H96" s="636"/>
      <c r="I96" s="636"/>
      <c r="J96" s="637"/>
      <c r="K96" s="642"/>
      <c r="L96" s="643"/>
      <c r="M96" s="644"/>
      <c r="N96" s="638">
        <f t="shared" si="31"/>
        <v>0</v>
      </c>
      <c r="O96" s="639">
        <v>1</v>
      </c>
      <c r="P96" s="638">
        <f t="shared" si="32"/>
        <v>0</v>
      </c>
      <c r="Q96" s="638">
        <f t="shared" si="33"/>
        <v>0</v>
      </c>
      <c r="R96" s="639">
        <v>1</v>
      </c>
      <c r="S96" s="638">
        <f t="shared" si="34"/>
        <v>0</v>
      </c>
      <c r="T96" s="638">
        <f t="shared" si="35"/>
        <v>0</v>
      </c>
      <c r="U96" s="640">
        <f t="shared" si="36"/>
        <v>0</v>
      </c>
    </row>
    <row r="97" spans="2:21" ht="15" customHeight="1" x14ac:dyDescent="0.2">
      <c r="B97" s="633"/>
      <c r="C97" s="634" t="s">
        <v>469</v>
      </c>
      <c r="D97" s="780" t="s">
        <v>469</v>
      </c>
      <c r="E97" s="781"/>
      <c r="F97" s="635"/>
      <c r="G97" s="635"/>
      <c r="H97" s="636"/>
      <c r="I97" s="636"/>
      <c r="J97" s="637"/>
      <c r="K97" s="642"/>
      <c r="L97" s="643"/>
      <c r="M97" s="644"/>
      <c r="N97" s="638">
        <f t="shared" si="31"/>
        <v>0</v>
      </c>
      <c r="O97" s="639">
        <v>1</v>
      </c>
      <c r="P97" s="638">
        <f t="shared" si="32"/>
        <v>0</v>
      </c>
      <c r="Q97" s="638">
        <f t="shared" si="33"/>
        <v>0</v>
      </c>
      <c r="R97" s="639">
        <v>1</v>
      </c>
      <c r="S97" s="638">
        <f t="shared" si="34"/>
        <v>0</v>
      </c>
      <c r="T97" s="638">
        <f t="shared" si="35"/>
        <v>0</v>
      </c>
      <c r="U97" s="640">
        <f t="shared" si="36"/>
        <v>0</v>
      </c>
    </row>
    <row r="98" spans="2:21" ht="15" customHeight="1" x14ac:dyDescent="0.2">
      <c r="B98" s="633"/>
      <c r="C98" s="634" t="s">
        <v>469</v>
      </c>
      <c r="D98" s="780" t="s">
        <v>469</v>
      </c>
      <c r="E98" s="781"/>
      <c r="F98" s="635"/>
      <c r="G98" s="635"/>
      <c r="H98" s="636"/>
      <c r="I98" s="636"/>
      <c r="J98" s="637"/>
      <c r="K98" s="642"/>
      <c r="L98" s="643"/>
      <c r="M98" s="644"/>
      <c r="N98" s="638">
        <f t="shared" si="31"/>
        <v>0</v>
      </c>
      <c r="O98" s="639">
        <v>1</v>
      </c>
      <c r="P98" s="638">
        <f t="shared" si="32"/>
        <v>0</v>
      </c>
      <c r="Q98" s="638">
        <f t="shared" si="33"/>
        <v>0</v>
      </c>
      <c r="R98" s="639">
        <v>1</v>
      </c>
      <c r="S98" s="638">
        <f t="shared" si="34"/>
        <v>0</v>
      </c>
      <c r="T98" s="638">
        <f t="shared" si="35"/>
        <v>0</v>
      </c>
      <c r="U98" s="640">
        <f t="shared" si="36"/>
        <v>0</v>
      </c>
    </row>
    <row r="99" spans="2:21" ht="15" customHeight="1" x14ac:dyDescent="0.2">
      <c r="B99" s="633"/>
      <c r="C99" s="634" t="s">
        <v>469</v>
      </c>
      <c r="D99" s="780" t="s">
        <v>469</v>
      </c>
      <c r="E99" s="781"/>
      <c r="F99" s="635"/>
      <c r="G99" s="635"/>
      <c r="H99" s="636"/>
      <c r="I99" s="636"/>
      <c r="J99" s="637"/>
      <c r="K99" s="642"/>
      <c r="L99" s="643"/>
      <c r="M99" s="644"/>
      <c r="N99" s="638">
        <f t="shared" si="31"/>
        <v>0</v>
      </c>
      <c r="O99" s="639">
        <v>1</v>
      </c>
      <c r="P99" s="638">
        <f t="shared" si="32"/>
        <v>0</v>
      </c>
      <c r="Q99" s="638">
        <f t="shared" si="33"/>
        <v>0</v>
      </c>
      <c r="R99" s="639">
        <v>1</v>
      </c>
      <c r="S99" s="638">
        <f t="shared" si="34"/>
        <v>0</v>
      </c>
      <c r="T99" s="638">
        <f t="shared" si="35"/>
        <v>0</v>
      </c>
      <c r="U99" s="640">
        <f t="shared" si="36"/>
        <v>0</v>
      </c>
    </row>
    <row r="100" spans="2:21" ht="15" customHeight="1" x14ac:dyDescent="0.2">
      <c r="B100" s="633"/>
      <c r="C100" s="634" t="s">
        <v>469</v>
      </c>
      <c r="D100" s="780" t="s">
        <v>469</v>
      </c>
      <c r="E100" s="781"/>
      <c r="F100" s="635"/>
      <c r="G100" s="635"/>
      <c r="H100" s="636"/>
      <c r="I100" s="636"/>
      <c r="J100" s="637"/>
      <c r="K100" s="642"/>
      <c r="L100" s="643"/>
      <c r="M100" s="644"/>
      <c r="N100" s="638">
        <f t="shared" si="31"/>
        <v>0</v>
      </c>
      <c r="O100" s="639">
        <v>1</v>
      </c>
      <c r="P100" s="638">
        <f t="shared" si="32"/>
        <v>0</v>
      </c>
      <c r="Q100" s="638">
        <f t="shared" si="33"/>
        <v>0</v>
      </c>
      <c r="R100" s="639">
        <v>1</v>
      </c>
      <c r="S100" s="638">
        <f t="shared" si="34"/>
        <v>0</v>
      </c>
      <c r="T100" s="638">
        <f t="shared" si="35"/>
        <v>0</v>
      </c>
      <c r="U100" s="640">
        <f t="shared" si="36"/>
        <v>0</v>
      </c>
    </row>
    <row r="101" spans="2:21" ht="15" customHeight="1" x14ac:dyDescent="0.2">
      <c r="B101" s="633"/>
      <c r="C101" s="634" t="s">
        <v>469</v>
      </c>
      <c r="D101" s="780" t="s">
        <v>469</v>
      </c>
      <c r="E101" s="781"/>
      <c r="F101" s="635"/>
      <c r="G101" s="635"/>
      <c r="H101" s="636"/>
      <c r="I101" s="636"/>
      <c r="J101" s="637"/>
      <c r="K101" s="642"/>
      <c r="L101" s="643"/>
      <c r="M101" s="644"/>
      <c r="N101" s="638">
        <f t="shared" si="31"/>
        <v>0</v>
      </c>
      <c r="O101" s="639">
        <v>1</v>
      </c>
      <c r="P101" s="638">
        <f t="shared" si="32"/>
        <v>0</v>
      </c>
      <c r="Q101" s="638">
        <f t="shared" si="33"/>
        <v>0</v>
      </c>
      <c r="R101" s="639">
        <v>1</v>
      </c>
      <c r="S101" s="638">
        <f t="shared" si="34"/>
        <v>0</v>
      </c>
      <c r="T101" s="638">
        <f t="shared" si="35"/>
        <v>0</v>
      </c>
      <c r="U101" s="640">
        <f t="shared" si="36"/>
        <v>0</v>
      </c>
    </row>
    <row r="102" spans="2:21" ht="15" customHeight="1" x14ac:dyDescent="0.2">
      <c r="B102" s="633"/>
      <c r="C102" s="634" t="s">
        <v>469</v>
      </c>
      <c r="D102" s="780" t="s">
        <v>469</v>
      </c>
      <c r="E102" s="781"/>
      <c r="F102" s="635"/>
      <c r="G102" s="635"/>
      <c r="H102" s="636"/>
      <c r="I102" s="636"/>
      <c r="J102" s="637"/>
      <c r="K102" s="642"/>
      <c r="L102" s="643"/>
      <c r="M102" s="644"/>
      <c r="N102" s="638">
        <f t="shared" si="31"/>
        <v>0</v>
      </c>
      <c r="O102" s="639">
        <v>1</v>
      </c>
      <c r="P102" s="638">
        <f t="shared" si="32"/>
        <v>0</v>
      </c>
      <c r="Q102" s="638">
        <f t="shared" si="33"/>
        <v>0</v>
      </c>
      <c r="R102" s="639">
        <v>1</v>
      </c>
      <c r="S102" s="638">
        <f t="shared" si="34"/>
        <v>0</v>
      </c>
      <c r="T102" s="638">
        <f t="shared" si="35"/>
        <v>0</v>
      </c>
      <c r="U102" s="640">
        <f t="shared" si="36"/>
        <v>0</v>
      </c>
    </row>
    <row r="103" spans="2:21" ht="15" customHeight="1" x14ac:dyDescent="0.2">
      <c r="B103" s="633"/>
      <c r="C103" s="634" t="s">
        <v>469</v>
      </c>
      <c r="D103" s="780" t="s">
        <v>469</v>
      </c>
      <c r="E103" s="781"/>
      <c r="F103" s="635"/>
      <c r="G103" s="635"/>
      <c r="H103" s="636"/>
      <c r="I103" s="636"/>
      <c r="J103" s="637"/>
      <c r="K103" s="642"/>
      <c r="L103" s="643"/>
      <c r="M103" s="644"/>
      <c r="N103" s="638">
        <f t="shared" si="31"/>
        <v>0</v>
      </c>
      <c r="O103" s="639">
        <v>1</v>
      </c>
      <c r="P103" s="638">
        <f t="shared" si="32"/>
        <v>0</v>
      </c>
      <c r="Q103" s="638">
        <f t="shared" si="33"/>
        <v>0</v>
      </c>
      <c r="R103" s="639">
        <v>1</v>
      </c>
      <c r="S103" s="638">
        <f t="shared" si="34"/>
        <v>0</v>
      </c>
      <c r="T103" s="638">
        <f t="shared" si="35"/>
        <v>0</v>
      </c>
      <c r="U103" s="640">
        <f t="shared" si="36"/>
        <v>0</v>
      </c>
    </row>
    <row r="104" spans="2:21" ht="15" customHeight="1" x14ac:dyDescent="0.2">
      <c r="B104" s="633"/>
      <c r="C104" s="634" t="s">
        <v>469</v>
      </c>
      <c r="D104" s="780" t="s">
        <v>469</v>
      </c>
      <c r="E104" s="781"/>
      <c r="F104" s="635"/>
      <c r="G104" s="635"/>
      <c r="H104" s="636"/>
      <c r="I104" s="636"/>
      <c r="J104" s="637"/>
      <c r="K104" s="642"/>
      <c r="L104" s="643"/>
      <c r="M104" s="644"/>
      <c r="N104" s="638">
        <f t="shared" si="31"/>
        <v>0</v>
      </c>
      <c r="O104" s="639">
        <v>1</v>
      </c>
      <c r="P104" s="638">
        <f t="shared" si="32"/>
        <v>0</v>
      </c>
      <c r="Q104" s="638">
        <f t="shared" si="33"/>
        <v>0</v>
      </c>
      <c r="R104" s="639">
        <v>1</v>
      </c>
      <c r="S104" s="638">
        <f t="shared" si="34"/>
        <v>0</v>
      </c>
      <c r="T104" s="638">
        <f t="shared" si="35"/>
        <v>0</v>
      </c>
      <c r="U104" s="640">
        <f t="shared" si="36"/>
        <v>0</v>
      </c>
    </row>
    <row r="105" spans="2:21" ht="15" customHeight="1" x14ac:dyDescent="0.2">
      <c r="B105" s="633"/>
      <c r="C105" s="634" t="s">
        <v>469</v>
      </c>
      <c r="D105" s="780" t="s">
        <v>469</v>
      </c>
      <c r="E105" s="781"/>
      <c r="F105" s="635"/>
      <c r="G105" s="635"/>
      <c r="H105" s="636"/>
      <c r="I105" s="636"/>
      <c r="J105" s="637"/>
      <c r="K105" s="642"/>
      <c r="L105" s="643"/>
      <c r="M105" s="644"/>
      <c r="N105" s="638">
        <f t="shared" si="31"/>
        <v>0</v>
      </c>
      <c r="O105" s="639">
        <v>1</v>
      </c>
      <c r="P105" s="638">
        <f t="shared" si="32"/>
        <v>0</v>
      </c>
      <c r="Q105" s="638">
        <f t="shared" si="33"/>
        <v>0</v>
      </c>
      <c r="R105" s="639">
        <v>1</v>
      </c>
      <c r="S105" s="638">
        <f t="shared" si="34"/>
        <v>0</v>
      </c>
      <c r="T105" s="638">
        <f t="shared" si="35"/>
        <v>0</v>
      </c>
      <c r="U105" s="640">
        <f t="shared" si="36"/>
        <v>0</v>
      </c>
    </row>
    <row r="106" spans="2:21" ht="15" customHeight="1" x14ac:dyDescent="0.2">
      <c r="B106" s="633"/>
      <c r="C106" s="634" t="s">
        <v>469</v>
      </c>
      <c r="D106" s="780" t="s">
        <v>469</v>
      </c>
      <c r="E106" s="781"/>
      <c r="F106" s="635"/>
      <c r="G106" s="635"/>
      <c r="H106" s="636"/>
      <c r="I106" s="636"/>
      <c r="J106" s="637"/>
      <c r="K106" s="642"/>
      <c r="L106" s="643"/>
      <c r="M106" s="644"/>
      <c r="N106" s="638">
        <f t="shared" si="31"/>
        <v>0</v>
      </c>
      <c r="O106" s="639">
        <v>1</v>
      </c>
      <c r="P106" s="638">
        <f t="shared" si="32"/>
        <v>0</v>
      </c>
      <c r="Q106" s="638">
        <f t="shared" si="33"/>
        <v>0</v>
      </c>
      <c r="R106" s="639">
        <v>1</v>
      </c>
      <c r="S106" s="638">
        <f t="shared" si="34"/>
        <v>0</v>
      </c>
      <c r="T106" s="638">
        <f t="shared" si="35"/>
        <v>0</v>
      </c>
      <c r="U106" s="640">
        <f t="shared" si="36"/>
        <v>0</v>
      </c>
    </row>
    <row r="107" spans="2:21" ht="15" customHeight="1" x14ac:dyDescent="0.2">
      <c r="B107" s="633"/>
      <c r="C107" s="634" t="s">
        <v>469</v>
      </c>
      <c r="D107" s="780" t="s">
        <v>469</v>
      </c>
      <c r="E107" s="781"/>
      <c r="F107" s="635"/>
      <c r="G107" s="635"/>
      <c r="H107" s="636"/>
      <c r="I107" s="636"/>
      <c r="J107" s="637"/>
      <c r="K107" s="642"/>
      <c r="L107" s="643"/>
      <c r="M107" s="644"/>
      <c r="N107" s="638">
        <f t="shared" si="31"/>
        <v>0</v>
      </c>
      <c r="O107" s="639">
        <v>1</v>
      </c>
      <c r="P107" s="638">
        <f t="shared" si="32"/>
        <v>0</v>
      </c>
      <c r="Q107" s="638">
        <f t="shared" si="33"/>
        <v>0</v>
      </c>
      <c r="R107" s="639">
        <v>1</v>
      </c>
      <c r="S107" s="638">
        <f t="shared" si="34"/>
        <v>0</v>
      </c>
      <c r="T107" s="638">
        <f t="shared" si="35"/>
        <v>0</v>
      </c>
      <c r="U107" s="640">
        <f t="shared" si="36"/>
        <v>0</v>
      </c>
    </row>
    <row r="108" spans="2:21" ht="15" customHeight="1" x14ac:dyDescent="0.2">
      <c r="B108" s="633"/>
      <c r="C108" s="634" t="s">
        <v>469</v>
      </c>
      <c r="D108" s="780" t="s">
        <v>469</v>
      </c>
      <c r="E108" s="781"/>
      <c r="F108" s="635"/>
      <c r="G108" s="635"/>
      <c r="H108" s="636"/>
      <c r="I108" s="636"/>
      <c r="J108" s="637"/>
      <c r="K108" s="642"/>
      <c r="L108" s="643"/>
      <c r="M108" s="644"/>
      <c r="N108" s="638">
        <f t="shared" si="31"/>
        <v>0</v>
      </c>
      <c r="O108" s="639">
        <v>1</v>
      </c>
      <c r="P108" s="638">
        <f t="shared" si="32"/>
        <v>0</v>
      </c>
      <c r="Q108" s="638">
        <f t="shared" si="33"/>
        <v>0</v>
      </c>
      <c r="R108" s="639">
        <v>1</v>
      </c>
      <c r="S108" s="638">
        <f t="shared" si="34"/>
        <v>0</v>
      </c>
      <c r="T108" s="638">
        <f t="shared" si="35"/>
        <v>0</v>
      </c>
      <c r="U108" s="640">
        <f t="shared" si="36"/>
        <v>0</v>
      </c>
    </row>
    <row r="109" spans="2:21" ht="15" customHeight="1" x14ac:dyDescent="0.2">
      <c r="B109" s="633"/>
      <c r="C109" s="634" t="s">
        <v>469</v>
      </c>
      <c r="D109" s="780" t="s">
        <v>469</v>
      </c>
      <c r="E109" s="781"/>
      <c r="F109" s="635"/>
      <c r="G109" s="635"/>
      <c r="H109" s="636"/>
      <c r="I109" s="636"/>
      <c r="J109" s="637"/>
      <c r="K109" s="642"/>
      <c r="L109" s="643"/>
      <c r="M109" s="644"/>
      <c r="N109" s="638">
        <f t="shared" si="31"/>
        <v>0</v>
      </c>
      <c r="O109" s="639">
        <v>1</v>
      </c>
      <c r="P109" s="638">
        <f t="shared" si="32"/>
        <v>0</v>
      </c>
      <c r="Q109" s="638">
        <f t="shared" si="33"/>
        <v>0</v>
      </c>
      <c r="R109" s="639">
        <v>1</v>
      </c>
      <c r="S109" s="638">
        <f t="shared" si="34"/>
        <v>0</v>
      </c>
      <c r="T109" s="638">
        <f t="shared" si="35"/>
        <v>0</v>
      </c>
      <c r="U109" s="640">
        <f t="shared" si="36"/>
        <v>0</v>
      </c>
    </row>
    <row r="110" spans="2:21" ht="15" customHeight="1" x14ac:dyDescent="0.2">
      <c r="B110" s="633"/>
      <c r="C110" s="634" t="s">
        <v>469</v>
      </c>
      <c r="D110" s="780" t="s">
        <v>469</v>
      </c>
      <c r="E110" s="781"/>
      <c r="F110" s="635"/>
      <c r="G110" s="635"/>
      <c r="H110" s="636"/>
      <c r="I110" s="636"/>
      <c r="J110" s="637"/>
      <c r="K110" s="642"/>
      <c r="L110" s="643"/>
      <c r="M110" s="644"/>
      <c r="N110" s="638">
        <f t="shared" si="31"/>
        <v>0</v>
      </c>
      <c r="O110" s="639">
        <v>1</v>
      </c>
      <c r="P110" s="638">
        <f t="shared" si="32"/>
        <v>0</v>
      </c>
      <c r="Q110" s="638">
        <f t="shared" si="33"/>
        <v>0</v>
      </c>
      <c r="R110" s="639">
        <v>1</v>
      </c>
      <c r="S110" s="638">
        <f t="shared" si="34"/>
        <v>0</v>
      </c>
      <c r="T110" s="638">
        <f t="shared" si="35"/>
        <v>0</v>
      </c>
      <c r="U110" s="640">
        <f t="shared" si="36"/>
        <v>0</v>
      </c>
    </row>
    <row r="111" spans="2:21" ht="15" customHeight="1" x14ac:dyDescent="0.2">
      <c r="B111" s="633"/>
      <c r="C111" s="634" t="s">
        <v>469</v>
      </c>
      <c r="D111" s="780" t="s">
        <v>469</v>
      </c>
      <c r="E111" s="781"/>
      <c r="F111" s="635"/>
      <c r="G111" s="635"/>
      <c r="H111" s="636"/>
      <c r="I111" s="636"/>
      <c r="J111" s="637"/>
      <c r="K111" s="642"/>
      <c r="L111" s="643"/>
      <c r="M111" s="644"/>
      <c r="N111" s="638">
        <f t="shared" si="31"/>
        <v>0</v>
      </c>
      <c r="O111" s="639">
        <v>1</v>
      </c>
      <c r="P111" s="638">
        <f t="shared" si="32"/>
        <v>0</v>
      </c>
      <c r="Q111" s="638">
        <f t="shared" si="33"/>
        <v>0</v>
      </c>
      <c r="R111" s="639">
        <v>1</v>
      </c>
      <c r="S111" s="638">
        <f t="shared" si="34"/>
        <v>0</v>
      </c>
      <c r="T111" s="638">
        <f t="shared" si="35"/>
        <v>0</v>
      </c>
      <c r="U111" s="640">
        <f t="shared" si="36"/>
        <v>0</v>
      </c>
    </row>
    <row r="112" spans="2:21" ht="15" customHeight="1" x14ac:dyDescent="0.2">
      <c r="B112" s="633"/>
      <c r="C112" s="634" t="s">
        <v>469</v>
      </c>
      <c r="D112" s="780" t="s">
        <v>469</v>
      </c>
      <c r="E112" s="781"/>
      <c r="F112" s="635"/>
      <c r="G112" s="635"/>
      <c r="H112" s="636"/>
      <c r="I112" s="636"/>
      <c r="J112" s="637"/>
      <c r="K112" s="642"/>
      <c r="L112" s="643"/>
      <c r="M112" s="644"/>
      <c r="N112" s="638">
        <f t="shared" si="31"/>
        <v>0</v>
      </c>
      <c r="O112" s="639">
        <v>1</v>
      </c>
      <c r="P112" s="638">
        <f t="shared" si="32"/>
        <v>0</v>
      </c>
      <c r="Q112" s="638">
        <f t="shared" si="33"/>
        <v>0</v>
      </c>
      <c r="R112" s="639">
        <v>1</v>
      </c>
      <c r="S112" s="638">
        <f t="shared" si="34"/>
        <v>0</v>
      </c>
      <c r="T112" s="638">
        <f t="shared" si="35"/>
        <v>0</v>
      </c>
      <c r="U112" s="640">
        <f t="shared" si="36"/>
        <v>0</v>
      </c>
    </row>
    <row r="113" spans="2:21" ht="15" customHeight="1" x14ac:dyDescent="0.2">
      <c r="B113" s="633"/>
      <c r="C113" s="634" t="s">
        <v>469</v>
      </c>
      <c r="D113" s="780" t="s">
        <v>469</v>
      </c>
      <c r="E113" s="781"/>
      <c r="F113" s="635"/>
      <c r="G113" s="635"/>
      <c r="H113" s="636"/>
      <c r="I113" s="636"/>
      <c r="J113" s="637"/>
      <c r="K113" s="642"/>
      <c r="L113" s="643"/>
      <c r="M113" s="644"/>
      <c r="N113" s="638">
        <f t="shared" si="31"/>
        <v>0</v>
      </c>
      <c r="O113" s="639">
        <v>1</v>
      </c>
      <c r="P113" s="638">
        <f t="shared" si="32"/>
        <v>0</v>
      </c>
      <c r="Q113" s="638">
        <f t="shared" si="33"/>
        <v>0</v>
      </c>
      <c r="R113" s="639">
        <v>1</v>
      </c>
      <c r="S113" s="638">
        <f t="shared" si="34"/>
        <v>0</v>
      </c>
      <c r="T113" s="638">
        <f t="shared" si="35"/>
        <v>0</v>
      </c>
      <c r="U113" s="640">
        <f t="shared" si="36"/>
        <v>0</v>
      </c>
    </row>
    <row r="114" spans="2:21" ht="15" customHeight="1" x14ac:dyDescent="0.2">
      <c r="B114" s="633"/>
      <c r="C114" s="634" t="s">
        <v>469</v>
      </c>
      <c r="D114" s="780" t="s">
        <v>469</v>
      </c>
      <c r="E114" s="781"/>
      <c r="F114" s="635"/>
      <c r="G114" s="635"/>
      <c r="H114" s="636"/>
      <c r="I114" s="636"/>
      <c r="J114" s="637"/>
      <c r="K114" s="642"/>
      <c r="L114" s="643"/>
      <c r="M114" s="644"/>
      <c r="N114" s="638">
        <f t="shared" si="31"/>
        <v>0</v>
      </c>
      <c r="O114" s="639">
        <v>1</v>
      </c>
      <c r="P114" s="638">
        <f t="shared" si="32"/>
        <v>0</v>
      </c>
      <c r="Q114" s="638">
        <f t="shared" si="33"/>
        <v>0</v>
      </c>
      <c r="R114" s="639">
        <v>1</v>
      </c>
      <c r="S114" s="638">
        <f t="shared" si="34"/>
        <v>0</v>
      </c>
      <c r="T114" s="638">
        <f t="shared" si="35"/>
        <v>0</v>
      </c>
      <c r="U114" s="640">
        <f t="shared" si="36"/>
        <v>0</v>
      </c>
    </row>
    <row r="115" spans="2:21" ht="15" customHeight="1" x14ac:dyDescent="0.2">
      <c r="B115" s="633"/>
      <c r="C115" s="634" t="s">
        <v>469</v>
      </c>
      <c r="D115" s="780" t="s">
        <v>469</v>
      </c>
      <c r="E115" s="781"/>
      <c r="F115" s="635"/>
      <c r="G115" s="635"/>
      <c r="H115" s="636"/>
      <c r="I115" s="636"/>
      <c r="J115" s="637"/>
      <c r="K115" s="642"/>
      <c r="L115" s="643"/>
      <c r="M115" s="644"/>
      <c r="N115" s="638">
        <f t="shared" si="31"/>
        <v>0</v>
      </c>
      <c r="O115" s="639">
        <v>1</v>
      </c>
      <c r="P115" s="638">
        <f t="shared" si="32"/>
        <v>0</v>
      </c>
      <c r="Q115" s="638">
        <f t="shared" si="33"/>
        <v>0</v>
      </c>
      <c r="R115" s="639">
        <v>1</v>
      </c>
      <c r="S115" s="638">
        <f t="shared" si="34"/>
        <v>0</v>
      </c>
      <c r="T115" s="638">
        <f t="shared" si="35"/>
        <v>0</v>
      </c>
      <c r="U115" s="640">
        <f t="shared" si="36"/>
        <v>0</v>
      </c>
    </row>
    <row r="116" spans="2:21" ht="15" customHeight="1" x14ac:dyDescent="0.2">
      <c r="B116" s="633"/>
      <c r="C116" s="634" t="s">
        <v>469</v>
      </c>
      <c r="D116" s="780" t="s">
        <v>469</v>
      </c>
      <c r="E116" s="781"/>
      <c r="F116" s="635"/>
      <c r="G116" s="635"/>
      <c r="H116" s="636"/>
      <c r="I116" s="636"/>
      <c r="J116" s="637"/>
      <c r="K116" s="642"/>
      <c r="L116" s="643"/>
      <c r="M116" s="644"/>
      <c r="N116" s="638">
        <f t="shared" si="31"/>
        <v>0</v>
      </c>
      <c r="O116" s="639">
        <v>1</v>
      </c>
      <c r="P116" s="638">
        <f t="shared" si="32"/>
        <v>0</v>
      </c>
      <c r="Q116" s="638">
        <f t="shared" si="33"/>
        <v>0</v>
      </c>
      <c r="R116" s="639">
        <v>1</v>
      </c>
      <c r="S116" s="638">
        <f t="shared" si="34"/>
        <v>0</v>
      </c>
      <c r="T116" s="638">
        <f t="shared" si="35"/>
        <v>0</v>
      </c>
      <c r="U116" s="640">
        <f t="shared" si="36"/>
        <v>0</v>
      </c>
    </row>
    <row r="117" spans="2:21" ht="15" customHeight="1" x14ac:dyDescent="0.2">
      <c r="B117" s="633"/>
      <c r="C117" s="634" t="s">
        <v>469</v>
      </c>
      <c r="D117" s="780" t="s">
        <v>469</v>
      </c>
      <c r="E117" s="781"/>
      <c r="F117" s="635"/>
      <c r="G117" s="635"/>
      <c r="H117" s="636"/>
      <c r="I117" s="636"/>
      <c r="J117" s="637"/>
      <c r="K117" s="642"/>
      <c r="L117" s="643"/>
      <c r="M117" s="644"/>
      <c r="N117" s="638">
        <f t="shared" si="31"/>
        <v>0</v>
      </c>
      <c r="O117" s="639">
        <v>1</v>
      </c>
      <c r="P117" s="638">
        <f t="shared" si="32"/>
        <v>0</v>
      </c>
      <c r="Q117" s="638">
        <f t="shared" si="33"/>
        <v>0</v>
      </c>
      <c r="R117" s="639">
        <v>1</v>
      </c>
      <c r="S117" s="638">
        <f t="shared" si="34"/>
        <v>0</v>
      </c>
      <c r="T117" s="638">
        <f t="shared" si="35"/>
        <v>0</v>
      </c>
      <c r="U117" s="640">
        <f t="shared" si="36"/>
        <v>0</v>
      </c>
    </row>
    <row r="118" spans="2:21" ht="15" customHeight="1" x14ac:dyDescent="0.2">
      <c r="B118" s="633"/>
      <c r="C118" s="634" t="s">
        <v>469</v>
      </c>
      <c r="D118" s="780" t="s">
        <v>469</v>
      </c>
      <c r="E118" s="781"/>
      <c r="F118" s="635"/>
      <c r="G118" s="635"/>
      <c r="H118" s="636"/>
      <c r="I118" s="636"/>
      <c r="J118" s="637"/>
      <c r="K118" s="642"/>
      <c r="L118" s="643"/>
      <c r="M118" s="644"/>
      <c r="N118" s="638">
        <f t="shared" si="31"/>
        <v>0</v>
      </c>
      <c r="O118" s="639">
        <v>1</v>
      </c>
      <c r="P118" s="638">
        <f t="shared" si="32"/>
        <v>0</v>
      </c>
      <c r="Q118" s="638">
        <f t="shared" si="33"/>
        <v>0</v>
      </c>
      <c r="R118" s="639">
        <v>1</v>
      </c>
      <c r="S118" s="638">
        <f t="shared" si="34"/>
        <v>0</v>
      </c>
      <c r="T118" s="638">
        <f t="shared" si="35"/>
        <v>0</v>
      </c>
      <c r="U118" s="640">
        <f t="shared" si="36"/>
        <v>0</v>
      </c>
    </row>
    <row r="119" spans="2:21" ht="15" customHeight="1" x14ac:dyDescent="0.2">
      <c r="B119" s="633"/>
      <c r="C119" s="634" t="s">
        <v>469</v>
      </c>
      <c r="D119" s="780" t="s">
        <v>469</v>
      </c>
      <c r="E119" s="781"/>
      <c r="F119" s="635"/>
      <c r="G119" s="635"/>
      <c r="H119" s="636"/>
      <c r="I119" s="636"/>
      <c r="J119" s="637"/>
      <c r="K119" s="642"/>
      <c r="L119" s="643"/>
      <c r="M119" s="644"/>
      <c r="N119" s="638">
        <f t="shared" si="31"/>
        <v>0</v>
      </c>
      <c r="O119" s="639">
        <v>1</v>
      </c>
      <c r="P119" s="638">
        <f t="shared" si="32"/>
        <v>0</v>
      </c>
      <c r="Q119" s="638">
        <f t="shared" si="33"/>
        <v>0</v>
      </c>
      <c r="R119" s="639">
        <v>1</v>
      </c>
      <c r="S119" s="638">
        <f t="shared" si="34"/>
        <v>0</v>
      </c>
      <c r="T119" s="638">
        <f t="shared" si="35"/>
        <v>0</v>
      </c>
      <c r="U119" s="640">
        <f t="shared" si="36"/>
        <v>0</v>
      </c>
    </row>
    <row r="120" spans="2:21" ht="15" customHeight="1" x14ac:dyDescent="0.2">
      <c r="B120" s="633"/>
      <c r="C120" s="634" t="s">
        <v>469</v>
      </c>
      <c r="D120" s="780" t="s">
        <v>469</v>
      </c>
      <c r="E120" s="781"/>
      <c r="F120" s="635"/>
      <c r="G120" s="635"/>
      <c r="H120" s="636"/>
      <c r="I120" s="636"/>
      <c r="J120" s="637"/>
      <c r="K120" s="642"/>
      <c r="L120" s="643"/>
      <c r="M120" s="644"/>
      <c r="N120" s="638">
        <f t="shared" si="31"/>
        <v>0</v>
      </c>
      <c r="O120" s="639">
        <v>1</v>
      </c>
      <c r="P120" s="638">
        <f t="shared" si="32"/>
        <v>0</v>
      </c>
      <c r="Q120" s="638">
        <f t="shared" si="33"/>
        <v>0</v>
      </c>
      <c r="R120" s="639">
        <v>1</v>
      </c>
      <c r="S120" s="638">
        <f t="shared" si="34"/>
        <v>0</v>
      </c>
      <c r="T120" s="638">
        <f t="shared" si="35"/>
        <v>0</v>
      </c>
      <c r="U120" s="640">
        <f t="shared" si="36"/>
        <v>0</v>
      </c>
    </row>
    <row r="121" spans="2:21" ht="15" customHeight="1" x14ac:dyDescent="0.2">
      <c r="B121" s="633"/>
      <c r="C121" s="634" t="s">
        <v>469</v>
      </c>
      <c r="D121" s="780" t="s">
        <v>469</v>
      </c>
      <c r="E121" s="781"/>
      <c r="F121" s="635"/>
      <c r="G121" s="635"/>
      <c r="H121" s="636"/>
      <c r="I121" s="636"/>
      <c r="J121" s="637"/>
      <c r="K121" s="642"/>
      <c r="L121" s="643"/>
      <c r="M121" s="644"/>
      <c r="N121" s="638">
        <f t="shared" si="31"/>
        <v>0</v>
      </c>
      <c r="O121" s="639">
        <v>1</v>
      </c>
      <c r="P121" s="638">
        <f t="shared" si="32"/>
        <v>0</v>
      </c>
      <c r="Q121" s="638">
        <f t="shared" si="33"/>
        <v>0</v>
      </c>
      <c r="R121" s="639">
        <v>1</v>
      </c>
      <c r="S121" s="638">
        <f t="shared" si="34"/>
        <v>0</v>
      </c>
      <c r="T121" s="638">
        <f t="shared" si="35"/>
        <v>0</v>
      </c>
      <c r="U121" s="640">
        <f t="shared" si="36"/>
        <v>0</v>
      </c>
    </row>
    <row r="122" spans="2:21" ht="15" customHeight="1" x14ac:dyDescent="0.2">
      <c r="B122" s="633"/>
      <c r="C122" s="634" t="s">
        <v>469</v>
      </c>
      <c r="D122" s="780" t="s">
        <v>469</v>
      </c>
      <c r="E122" s="781"/>
      <c r="F122" s="635"/>
      <c r="G122" s="635"/>
      <c r="H122" s="636"/>
      <c r="I122" s="636"/>
      <c r="J122" s="637"/>
      <c r="K122" s="642"/>
      <c r="L122" s="643"/>
      <c r="M122" s="644"/>
      <c r="N122" s="638">
        <f t="shared" si="31"/>
        <v>0</v>
      </c>
      <c r="O122" s="639">
        <v>1</v>
      </c>
      <c r="P122" s="638">
        <f t="shared" si="32"/>
        <v>0</v>
      </c>
      <c r="Q122" s="638">
        <f t="shared" si="33"/>
        <v>0</v>
      </c>
      <c r="R122" s="639">
        <v>1</v>
      </c>
      <c r="S122" s="638">
        <f t="shared" si="34"/>
        <v>0</v>
      </c>
      <c r="T122" s="638">
        <f t="shared" si="35"/>
        <v>0</v>
      </c>
      <c r="U122" s="640">
        <f t="shared" si="36"/>
        <v>0</v>
      </c>
    </row>
    <row r="123" spans="2:21" ht="15" customHeight="1" x14ac:dyDescent="0.2">
      <c r="B123" s="633"/>
      <c r="C123" s="634" t="s">
        <v>469</v>
      </c>
      <c r="D123" s="780" t="s">
        <v>469</v>
      </c>
      <c r="E123" s="781"/>
      <c r="F123" s="635"/>
      <c r="G123" s="635"/>
      <c r="H123" s="636"/>
      <c r="I123" s="636"/>
      <c r="J123" s="637"/>
      <c r="K123" s="642"/>
      <c r="L123" s="643"/>
      <c r="M123" s="644"/>
      <c r="N123" s="638">
        <f t="shared" ref="N123:N158" si="37">$F123*$H123</f>
        <v>0</v>
      </c>
      <c r="O123" s="639">
        <v>1</v>
      </c>
      <c r="P123" s="638">
        <f t="shared" ref="P123:P154" si="38">N123*O123</f>
        <v>0</v>
      </c>
      <c r="Q123" s="638">
        <f t="shared" ref="Q123:Q158" si="39">$G123*$I123/100</f>
        <v>0</v>
      </c>
      <c r="R123" s="639">
        <v>1</v>
      </c>
      <c r="S123" s="638">
        <f t="shared" ref="S123:S154" si="40">Q123*R123</f>
        <v>0</v>
      </c>
      <c r="T123" s="638">
        <f t="shared" ref="T123:T158" si="41">N123+Q123</f>
        <v>0</v>
      </c>
      <c r="U123" s="640">
        <f t="shared" ref="U123:U158" si="42">P123+S123</f>
        <v>0</v>
      </c>
    </row>
    <row r="124" spans="2:21" ht="15" customHeight="1" x14ac:dyDescent="0.2">
      <c r="B124" s="633"/>
      <c r="C124" s="634" t="s">
        <v>469</v>
      </c>
      <c r="D124" s="780" t="s">
        <v>469</v>
      </c>
      <c r="E124" s="781"/>
      <c r="F124" s="635"/>
      <c r="G124" s="635"/>
      <c r="H124" s="636"/>
      <c r="I124" s="636"/>
      <c r="J124" s="637"/>
      <c r="K124" s="780"/>
      <c r="L124" s="782"/>
      <c r="M124" s="781"/>
      <c r="N124" s="638">
        <f t="shared" si="37"/>
        <v>0</v>
      </c>
      <c r="O124" s="639">
        <v>1</v>
      </c>
      <c r="P124" s="638">
        <f t="shared" si="38"/>
        <v>0</v>
      </c>
      <c r="Q124" s="638">
        <f t="shared" si="39"/>
        <v>0</v>
      </c>
      <c r="R124" s="639">
        <v>1</v>
      </c>
      <c r="S124" s="638">
        <f t="shared" si="40"/>
        <v>0</v>
      </c>
      <c r="T124" s="638">
        <f t="shared" si="41"/>
        <v>0</v>
      </c>
      <c r="U124" s="640">
        <f t="shared" si="42"/>
        <v>0</v>
      </c>
    </row>
    <row r="125" spans="2:21" ht="15" customHeight="1" x14ac:dyDescent="0.2">
      <c r="B125" s="633"/>
      <c r="C125" s="634" t="s">
        <v>469</v>
      </c>
      <c r="D125" s="780" t="s">
        <v>469</v>
      </c>
      <c r="E125" s="781"/>
      <c r="F125" s="635"/>
      <c r="G125" s="635"/>
      <c r="H125" s="636"/>
      <c r="I125" s="636"/>
      <c r="J125" s="637"/>
      <c r="K125" s="780"/>
      <c r="L125" s="782"/>
      <c r="M125" s="781"/>
      <c r="N125" s="638">
        <f t="shared" si="37"/>
        <v>0</v>
      </c>
      <c r="O125" s="639">
        <v>1</v>
      </c>
      <c r="P125" s="638">
        <f t="shared" si="38"/>
        <v>0</v>
      </c>
      <c r="Q125" s="638">
        <f t="shared" si="39"/>
        <v>0</v>
      </c>
      <c r="R125" s="639">
        <v>1</v>
      </c>
      <c r="S125" s="638">
        <f t="shared" si="40"/>
        <v>0</v>
      </c>
      <c r="T125" s="638">
        <f t="shared" si="41"/>
        <v>0</v>
      </c>
      <c r="U125" s="640">
        <f t="shared" si="42"/>
        <v>0</v>
      </c>
    </row>
    <row r="126" spans="2:21" ht="15" customHeight="1" x14ac:dyDescent="0.2">
      <c r="B126" s="633"/>
      <c r="C126" s="634" t="s">
        <v>469</v>
      </c>
      <c r="D126" s="780" t="s">
        <v>469</v>
      </c>
      <c r="E126" s="781"/>
      <c r="F126" s="635"/>
      <c r="G126" s="635"/>
      <c r="H126" s="636"/>
      <c r="I126" s="636"/>
      <c r="J126" s="637"/>
      <c r="K126" s="780"/>
      <c r="L126" s="782"/>
      <c r="M126" s="781"/>
      <c r="N126" s="638">
        <f t="shared" si="37"/>
        <v>0</v>
      </c>
      <c r="O126" s="639">
        <v>1</v>
      </c>
      <c r="P126" s="638">
        <f t="shared" si="38"/>
        <v>0</v>
      </c>
      <c r="Q126" s="638">
        <f t="shared" si="39"/>
        <v>0</v>
      </c>
      <c r="R126" s="639">
        <v>1</v>
      </c>
      <c r="S126" s="638">
        <f t="shared" si="40"/>
        <v>0</v>
      </c>
      <c r="T126" s="638">
        <f t="shared" si="41"/>
        <v>0</v>
      </c>
      <c r="U126" s="640">
        <f t="shared" si="42"/>
        <v>0</v>
      </c>
    </row>
    <row r="127" spans="2:21" ht="15" customHeight="1" x14ac:dyDescent="0.2">
      <c r="B127" s="633"/>
      <c r="C127" s="634" t="s">
        <v>469</v>
      </c>
      <c r="D127" s="780" t="s">
        <v>469</v>
      </c>
      <c r="E127" s="781"/>
      <c r="F127" s="635"/>
      <c r="G127" s="635"/>
      <c r="H127" s="636"/>
      <c r="I127" s="636"/>
      <c r="J127" s="637"/>
      <c r="K127" s="780"/>
      <c r="L127" s="782"/>
      <c r="M127" s="781"/>
      <c r="N127" s="638">
        <f t="shared" si="37"/>
        <v>0</v>
      </c>
      <c r="O127" s="639">
        <v>1</v>
      </c>
      <c r="P127" s="638">
        <f t="shared" si="38"/>
        <v>0</v>
      </c>
      <c r="Q127" s="638">
        <f t="shared" si="39"/>
        <v>0</v>
      </c>
      <c r="R127" s="639">
        <v>1</v>
      </c>
      <c r="S127" s="638">
        <f t="shared" si="40"/>
        <v>0</v>
      </c>
      <c r="T127" s="638">
        <f t="shared" si="41"/>
        <v>0</v>
      </c>
      <c r="U127" s="640">
        <f t="shared" si="42"/>
        <v>0</v>
      </c>
    </row>
    <row r="128" spans="2:21" ht="15" customHeight="1" x14ac:dyDescent="0.2">
      <c r="B128" s="633"/>
      <c r="C128" s="634" t="s">
        <v>469</v>
      </c>
      <c r="D128" s="780" t="s">
        <v>469</v>
      </c>
      <c r="E128" s="781"/>
      <c r="F128" s="635"/>
      <c r="G128" s="635"/>
      <c r="H128" s="636"/>
      <c r="I128" s="636"/>
      <c r="J128" s="637"/>
      <c r="K128" s="780"/>
      <c r="L128" s="782"/>
      <c r="M128" s="781"/>
      <c r="N128" s="638">
        <f t="shared" si="37"/>
        <v>0</v>
      </c>
      <c r="O128" s="639">
        <v>1</v>
      </c>
      <c r="P128" s="638">
        <f t="shared" si="38"/>
        <v>0</v>
      </c>
      <c r="Q128" s="638">
        <f t="shared" si="39"/>
        <v>0</v>
      </c>
      <c r="R128" s="639">
        <v>1</v>
      </c>
      <c r="S128" s="638">
        <f t="shared" si="40"/>
        <v>0</v>
      </c>
      <c r="T128" s="638">
        <f t="shared" si="41"/>
        <v>0</v>
      </c>
      <c r="U128" s="640">
        <f t="shared" si="42"/>
        <v>0</v>
      </c>
    </row>
    <row r="129" spans="2:21" ht="15" customHeight="1" x14ac:dyDescent="0.2">
      <c r="B129" s="633"/>
      <c r="C129" s="634" t="s">
        <v>469</v>
      </c>
      <c r="D129" s="780" t="s">
        <v>469</v>
      </c>
      <c r="E129" s="781"/>
      <c r="F129" s="635"/>
      <c r="G129" s="635"/>
      <c r="H129" s="636"/>
      <c r="I129" s="636"/>
      <c r="J129" s="637"/>
      <c r="K129" s="780"/>
      <c r="L129" s="782"/>
      <c r="M129" s="781"/>
      <c r="N129" s="638">
        <f t="shared" si="37"/>
        <v>0</v>
      </c>
      <c r="O129" s="639">
        <v>1</v>
      </c>
      <c r="P129" s="638">
        <f t="shared" si="38"/>
        <v>0</v>
      </c>
      <c r="Q129" s="638">
        <f t="shared" si="39"/>
        <v>0</v>
      </c>
      <c r="R129" s="639">
        <v>1</v>
      </c>
      <c r="S129" s="638">
        <f t="shared" si="40"/>
        <v>0</v>
      </c>
      <c r="T129" s="638">
        <f t="shared" si="41"/>
        <v>0</v>
      </c>
      <c r="U129" s="640">
        <f t="shared" si="42"/>
        <v>0</v>
      </c>
    </row>
    <row r="130" spans="2:21" ht="15" customHeight="1" x14ac:dyDescent="0.2">
      <c r="B130" s="633"/>
      <c r="C130" s="634" t="s">
        <v>469</v>
      </c>
      <c r="D130" s="780" t="s">
        <v>469</v>
      </c>
      <c r="E130" s="781"/>
      <c r="F130" s="635"/>
      <c r="G130" s="635"/>
      <c r="H130" s="636"/>
      <c r="I130" s="636"/>
      <c r="J130" s="637"/>
      <c r="K130" s="780"/>
      <c r="L130" s="782"/>
      <c r="M130" s="781"/>
      <c r="N130" s="638">
        <f t="shared" si="37"/>
        <v>0</v>
      </c>
      <c r="O130" s="639">
        <v>1</v>
      </c>
      <c r="P130" s="638">
        <f t="shared" si="38"/>
        <v>0</v>
      </c>
      <c r="Q130" s="638">
        <f t="shared" si="39"/>
        <v>0</v>
      </c>
      <c r="R130" s="639">
        <v>1</v>
      </c>
      <c r="S130" s="638">
        <f t="shared" si="40"/>
        <v>0</v>
      </c>
      <c r="T130" s="638">
        <f t="shared" si="41"/>
        <v>0</v>
      </c>
      <c r="U130" s="640">
        <f t="shared" si="42"/>
        <v>0</v>
      </c>
    </row>
    <row r="131" spans="2:21" ht="15" customHeight="1" x14ac:dyDescent="0.2">
      <c r="B131" s="633"/>
      <c r="C131" s="634" t="s">
        <v>469</v>
      </c>
      <c r="D131" s="780" t="s">
        <v>469</v>
      </c>
      <c r="E131" s="781"/>
      <c r="F131" s="635"/>
      <c r="G131" s="635"/>
      <c r="H131" s="636"/>
      <c r="I131" s="636"/>
      <c r="J131" s="637"/>
      <c r="K131" s="780"/>
      <c r="L131" s="782"/>
      <c r="M131" s="781"/>
      <c r="N131" s="638">
        <f t="shared" si="37"/>
        <v>0</v>
      </c>
      <c r="O131" s="639">
        <v>1</v>
      </c>
      <c r="P131" s="638">
        <f t="shared" si="38"/>
        <v>0</v>
      </c>
      <c r="Q131" s="638">
        <f t="shared" si="39"/>
        <v>0</v>
      </c>
      <c r="R131" s="639">
        <v>1</v>
      </c>
      <c r="S131" s="638">
        <f t="shared" si="40"/>
        <v>0</v>
      </c>
      <c r="T131" s="638">
        <f t="shared" si="41"/>
        <v>0</v>
      </c>
      <c r="U131" s="640">
        <f t="shared" si="42"/>
        <v>0</v>
      </c>
    </row>
    <row r="132" spans="2:21" ht="15" customHeight="1" x14ac:dyDescent="0.2">
      <c r="B132" s="633"/>
      <c r="C132" s="634" t="s">
        <v>469</v>
      </c>
      <c r="D132" s="780" t="s">
        <v>469</v>
      </c>
      <c r="E132" s="781"/>
      <c r="F132" s="635"/>
      <c r="G132" s="635"/>
      <c r="H132" s="636"/>
      <c r="I132" s="636"/>
      <c r="J132" s="637"/>
      <c r="K132" s="780"/>
      <c r="L132" s="782"/>
      <c r="M132" s="781"/>
      <c r="N132" s="638">
        <f t="shared" si="37"/>
        <v>0</v>
      </c>
      <c r="O132" s="639">
        <v>1</v>
      </c>
      <c r="P132" s="638">
        <f t="shared" si="38"/>
        <v>0</v>
      </c>
      <c r="Q132" s="638">
        <f t="shared" si="39"/>
        <v>0</v>
      </c>
      <c r="R132" s="639">
        <v>1</v>
      </c>
      <c r="S132" s="638">
        <f t="shared" si="40"/>
        <v>0</v>
      </c>
      <c r="T132" s="638">
        <f t="shared" si="41"/>
        <v>0</v>
      </c>
      <c r="U132" s="640">
        <f t="shared" si="42"/>
        <v>0</v>
      </c>
    </row>
    <row r="133" spans="2:21" ht="15" customHeight="1" x14ac:dyDescent="0.2">
      <c r="B133" s="633"/>
      <c r="C133" s="634" t="s">
        <v>469</v>
      </c>
      <c r="D133" s="780" t="s">
        <v>469</v>
      </c>
      <c r="E133" s="781"/>
      <c r="F133" s="635"/>
      <c r="G133" s="635"/>
      <c r="H133" s="636"/>
      <c r="I133" s="636"/>
      <c r="J133" s="637"/>
      <c r="K133" s="780"/>
      <c r="L133" s="782"/>
      <c r="M133" s="781"/>
      <c r="N133" s="638">
        <f t="shared" si="37"/>
        <v>0</v>
      </c>
      <c r="O133" s="639">
        <v>1</v>
      </c>
      <c r="P133" s="638">
        <f t="shared" si="38"/>
        <v>0</v>
      </c>
      <c r="Q133" s="638">
        <f t="shared" si="39"/>
        <v>0</v>
      </c>
      <c r="R133" s="639">
        <v>1</v>
      </c>
      <c r="S133" s="638">
        <f t="shared" si="40"/>
        <v>0</v>
      </c>
      <c r="T133" s="638">
        <f t="shared" si="41"/>
        <v>0</v>
      </c>
      <c r="U133" s="640">
        <f t="shared" si="42"/>
        <v>0</v>
      </c>
    </row>
    <row r="134" spans="2:21" ht="15" customHeight="1" x14ac:dyDescent="0.2">
      <c r="B134" s="633"/>
      <c r="C134" s="634" t="s">
        <v>469</v>
      </c>
      <c r="D134" s="780" t="s">
        <v>469</v>
      </c>
      <c r="E134" s="781"/>
      <c r="F134" s="635"/>
      <c r="G134" s="635"/>
      <c r="H134" s="636"/>
      <c r="I134" s="636"/>
      <c r="J134" s="637"/>
      <c r="K134" s="780"/>
      <c r="L134" s="782"/>
      <c r="M134" s="781"/>
      <c r="N134" s="638">
        <f t="shared" si="37"/>
        <v>0</v>
      </c>
      <c r="O134" s="639">
        <v>1</v>
      </c>
      <c r="P134" s="638">
        <f t="shared" si="38"/>
        <v>0</v>
      </c>
      <c r="Q134" s="638">
        <f t="shared" si="39"/>
        <v>0</v>
      </c>
      <c r="R134" s="639">
        <v>1</v>
      </c>
      <c r="S134" s="638">
        <f t="shared" si="40"/>
        <v>0</v>
      </c>
      <c r="T134" s="638">
        <f t="shared" si="41"/>
        <v>0</v>
      </c>
      <c r="U134" s="640">
        <f t="shared" si="42"/>
        <v>0</v>
      </c>
    </row>
    <row r="135" spans="2:21" ht="15" customHeight="1" x14ac:dyDescent="0.2">
      <c r="B135" s="633"/>
      <c r="C135" s="634" t="s">
        <v>469</v>
      </c>
      <c r="D135" s="780" t="s">
        <v>469</v>
      </c>
      <c r="E135" s="781"/>
      <c r="F135" s="635"/>
      <c r="G135" s="635"/>
      <c r="H135" s="636"/>
      <c r="I135" s="636"/>
      <c r="J135" s="637"/>
      <c r="K135" s="780"/>
      <c r="L135" s="782"/>
      <c r="M135" s="781"/>
      <c r="N135" s="638">
        <f t="shared" si="37"/>
        <v>0</v>
      </c>
      <c r="O135" s="639">
        <v>1</v>
      </c>
      <c r="P135" s="638">
        <f t="shared" si="38"/>
        <v>0</v>
      </c>
      <c r="Q135" s="638">
        <f t="shared" si="39"/>
        <v>0</v>
      </c>
      <c r="R135" s="639">
        <v>1</v>
      </c>
      <c r="S135" s="638">
        <f t="shared" si="40"/>
        <v>0</v>
      </c>
      <c r="T135" s="638">
        <f t="shared" si="41"/>
        <v>0</v>
      </c>
      <c r="U135" s="640">
        <f t="shared" si="42"/>
        <v>0</v>
      </c>
    </row>
    <row r="136" spans="2:21" ht="15" customHeight="1" x14ac:dyDescent="0.2">
      <c r="B136" s="633"/>
      <c r="C136" s="634" t="s">
        <v>469</v>
      </c>
      <c r="D136" s="780" t="s">
        <v>469</v>
      </c>
      <c r="E136" s="781"/>
      <c r="F136" s="635"/>
      <c r="G136" s="635"/>
      <c r="H136" s="636"/>
      <c r="I136" s="636"/>
      <c r="J136" s="637"/>
      <c r="K136" s="780"/>
      <c r="L136" s="782"/>
      <c r="M136" s="781"/>
      <c r="N136" s="638">
        <f t="shared" si="37"/>
        <v>0</v>
      </c>
      <c r="O136" s="639">
        <v>1</v>
      </c>
      <c r="P136" s="638">
        <f t="shared" si="38"/>
        <v>0</v>
      </c>
      <c r="Q136" s="638">
        <f t="shared" si="39"/>
        <v>0</v>
      </c>
      <c r="R136" s="639">
        <v>1</v>
      </c>
      <c r="S136" s="638">
        <f t="shared" si="40"/>
        <v>0</v>
      </c>
      <c r="T136" s="638">
        <f t="shared" si="41"/>
        <v>0</v>
      </c>
      <c r="U136" s="640">
        <f t="shared" si="42"/>
        <v>0</v>
      </c>
    </row>
    <row r="137" spans="2:21" ht="15" customHeight="1" x14ac:dyDescent="0.2">
      <c r="B137" s="633"/>
      <c r="C137" s="634" t="s">
        <v>469</v>
      </c>
      <c r="D137" s="780" t="s">
        <v>469</v>
      </c>
      <c r="E137" s="781"/>
      <c r="F137" s="635"/>
      <c r="G137" s="635"/>
      <c r="H137" s="636"/>
      <c r="I137" s="636"/>
      <c r="J137" s="637"/>
      <c r="K137" s="780"/>
      <c r="L137" s="782"/>
      <c r="M137" s="781"/>
      <c r="N137" s="638">
        <f t="shared" si="37"/>
        <v>0</v>
      </c>
      <c r="O137" s="639">
        <v>1</v>
      </c>
      <c r="P137" s="638">
        <f t="shared" si="38"/>
        <v>0</v>
      </c>
      <c r="Q137" s="638">
        <f t="shared" si="39"/>
        <v>0</v>
      </c>
      <c r="R137" s="639">
        <v>1</v>
      </c>
      <c r="S137" s="638">
        <f t="shared" si="40"/>
        <v>0</v>
      </c>
      <c r="T137" s="638">
        <f t="shared" si="41"/>
        <v>0</v>
      </c>
      <c r="U137" s="640">
        <f t="shared" si="42"/>
        <v>0</v>
      </c>
    </row>
    <row r="138" spans="2:21" ht="15" customHeight="1" x14ac:dyDescent="0.2">
      <c r="B138" s="633"/>
      <c r="C138" s="634" t="s">
        <v>469</v>
      </c>
      <c r="D138" s="780" t="s">
        <v>469</v>
      </c>
      <c r="E138" s="781"/>
      <c r="F138" s="635"/>
      <c r="G138" s="635"/>
      <c r="H138" s="636"/>
      <c r="I138" s="636"/>
      <c r="J138" s="637"/>
      <c r="K138" s="780"/>
      <c r="L138" s="782"/>
      <c r="M138" s="781"/>
      <c r="N138" s="638">
        <f t="shared" si="37"/>
        <v>0</v>
      </c>
      <c r="O138" s="639">
        <v>1</v>
      </c>
      <c r="P138" s="638">
        <f t="shared" si="38"/>
        <v>0</v>
      </c>
      <c r="Q138" s="638">
        <f t="shared" si="39"/>
        <v>0</v>
      </c>
      <c r="R138" s="639">
        <v>1</v>
      </c>
      <c r="S138" s="638">
        <f t="shared" si="40"/>
        <v>0</v>
      </c>
      <c r="T138" s="638">
        <f t="shared" si="41"/>
        <v>0</v>
      </c>
      <c r="U138" s="640">
        <f t="shared" si="42"/>
        <v>0</v>
      </c>
    </row>
    <row r="139" spans="2:21" ht="15" customHeight="1" x14ac:dyDescent="0.2">
      <c r="B139" s="633"/>
      <c r="C139" s="634" t="s">
        <v>469</v>
      </c>
      <c r="D139" s="780" t="s">
        <v>469</v>
      </c>
      <c r="E139" s="781"/>
      <c r="F139" s="635"/>
      <c r="G139" s="635"/>
      <c r="H139" s="636"/>
      <c r="I139" s="636"/>
      <c r="J139" s="637"/>
      <c r="K139" s="780"/>
      <c r="L139" s="782"/>
      <c r="M139" s="781"/>
      <c r="N139" s="638">
        <f t="shared" si="37"/>
        <v>0</v>
      </c>
      <c r="O139" s="639">
        <v>1</v>
      </c>
      <c r="P139" s="638">
        <f t="shared" si="38"/>
        <v>0</v>
      </c>
      <c r="Q139" s="638">
        <f t="shared" si="39"/>
        <v>0</v>
      </c>
      <c r="R139" s="639">
        <v>1</v>
      </c>
      <c r="S139" s="638">
        <f t="shared" si="40"/>
        <v>0</v>
      </c>
      <c r="T139" s="638">
        <f t="shared" si="41"/>
        <v>0</v>
      </c>
      <c r="U139" s="640">
        <f t="shared" si="42"/>
        <v>0</v>
      </c>
    </row>
    <row r="140" spans="2:21" ht="15" customHeight="1" x14ac:dyDescent="0.2">
      <c r="B140" s="633"/>
      <c r="C140" s="634" t="s">
        <v>469</v>
      </c>
      <c r="D140" s="780" t="s">
        <v>469</v>
      </c>
      <c r="E140" s="781"/>
      <c r="F140" s="635"/>
      <c r="G140" s="635"/>
      <c r="H140" s="636"/>
      <c r="I140" s="636"/>
      <c r="J140" s="637"/>
      <c r="K140" s="780"/>
      <c r="L140" s="782"/>
      <c r="M140" s="781"/>
      <c r="N140" s="638">
        <f t="shared" si="37"/>
        <v>0</v>
      </c>
      <c r="O140" s="639">
        <v>1</v>
      </c>
      <c r="P140" s="638">
        <f t="shared" si="38"/>
        <v>0</v>
      </c>
      <c r="Q140" s="638">
        <f t="shared" si="39"/>
        <v>0</v>
      </c>
      <c r="R140" s="639">
        <v>1</v>
      </c>
      <c r="S140" s="638">
        <f t="shared" si="40"/>
        <v>0</v>
      </c>
      <c r="T140" s="638">
        <f t="shared" si="41"/>
        <v>0</v>
      </c>
      <c r="U140" s="640">
        <f t="shared" si="42"/>
        <v>0</v>
      </c>
    </row>
    <row r="141" spans="2:21" ht="15" customHeight="1" x14ac:dyDescent="0.2">
      <c r="B141" s="633"/>
      <c r="C141" s="634" t="s">
        <v>469</v>
      </c>
      <c r="D141" s="780" t="s">
        <v>469</v>
      </c>
      <c r="E141" s="781"/>
      <c r="F141" s="635"/>
      <c r="G141" s="635"/>
      <c r="H141" s="636"/>
      <c r="I141" s="636"/>
      <c r="J141" s="637"/>
      <c r="K141" s="780"/>
      <c r="L141" s="782"/>
      <c r="M141" s="781"/>
      <c r="N141" s="638">
        <f t="shared" si="37"/>
        <v>0</v>
      </c>
      <c r="O141" s="639">
        <v>1</v>
      </c>
      <c r="P141" s="638">
        <f t="shared" si="38"/>
        <v>0</v>
      </c>
      <c r="Q141" s="638">
        <f t="shared" si="39"/>
        <v>0</v>
      </c>
      <c r="R141" s="639">
        <v>1</v>
      </c>
      <c r="S141" s="638">
        <f t="shared" si="40"/>
        <v>0</v>
      </c>
      <c r="T141" s="638">
        <f t="shared" si="41"/>
        <v>0</v>
      </c>
      <c r="U141" s="640">
        <f t="shared" si="42"/>
        <v>0</v>
      </c>
    </row>
    <row r="142" spans="2:21" ht="15" customHeight="1" x14ac:dyDescent="0.2">
      <c r="B142" s="633"/>
      <c r="C142" s="634" t="s">
        <v>469</v>
      </c>
      <c r="D142" s="780" t="s">
        <v>469</v>
      </c>
      <c r="E142" s="781"/>
      <c r="F142" s="635"/>
      <c r="G142" s="635"/>
      <c r="H142" s="636"/>
      <c r="I142" s="636"/>
      <c r="J142" s="637"/>
      <c r="K142" s="780"/>
      <c r="L142" s="782"/>
      <c r="M142" s="781"/>
      <c r="N142" s="638">
        <f t="shared" si="37"/>
        <v>0</v>
      </c>
      <c r="O142" s="639">
        <v>1</v>
      </c>
      <c r="P142" s="638">
        <f t="shared" si="38"/>
        <v>0</v>
      </c>
      <c r="Q142" s="638">
        <f t="shared" si="39"/>
        <v>0</v>
      </c>
      <c r="R142" s="639">
        <v>1</v>
      </c>
      <c r="S142" s="638">
        <f t="shared" si="40"/>
        <v>0</v>
      </c>
      <c r="T142" s="638">
        <f t="shared" si="41"/>
        <v>0</v>
      </c>
      <c r="U142" s="640">
        <f t="shared" si="42"/>
        <v>0</v>
      </c>
    </row>
    <row r="143" spans="2:21" ht="15" customHeight="1" x14ac:dyDescent="0.2">
      <c r="B143" s="633"/>
      <c r="C143" s="634" t="s">
        <v>469</v>
      </c>
      <c r="D143" s="780" t="s">
        <v>469</v>
      </c>
      <c r="E143" s="781"/>
      <c r="F143" s="635"/>
      <c r="G143" s="635"/>
      <c r="H143" s="636"/>
      <c r="I143" s="636"/>
      <c r="J143" s="637"/>
      <c r="K143" s="780"/>
      <c r="L143" s="782"/>
      <c r="M143" s="781"/>
      <c r="N143" s="638">
        <f t="shared" si="37"/>
        <v>0</v>
      </c>
      <c r="O143" s="639">
        <v>1</v>
      </c>
      <c r="P143" s="638">
        <f t="shared" si="38"/>
        <v>0</v>
      </c>
      <c r="Q143" s="638">
        <f t="shared" si="39"/>
        <v>0</v>
      </c>
      <c r="R143" s="639">
        <v>1</v>
      </c>
      <c r="S143" s="638">
        <f t="shared" si="40"/>
        <v>0</v>
      </c>
      <c r="T143" s="638">
        <f t="shared" si="41"/>
        <v>0</v>
      </c>
      <c r="U143" s="640">
        <f t="shared" si="42"/>
        <v>0</v>
      </c>
    </row>
    <row r="144" spans="2:21" ht="15" customHeight="1" x14ac:dyDescent="0.2">
      <c r="B144" s="633"/>
      <c r="C144" s="634" t="s">
        <v>469</v>
      </c>
      <c r="D144" s="780" t="s">
        <v>469</v>
      </c>
      <c r="E144" s="781"/>
      <c r="F144" s="635"/>
      <c r="G144" s="635"/>
      <c r="H144" s="636"/>
      <c r="I144" s="636"/>
      <c r="J144" s="637"/>
      <c r="K144" s="780"/>
      <c r="L144" s="782"/>
      <c r="M144" s="781"/>
      <c r="N144" s="638">
        <f t="shared" si="37"/>
        <v>0</v>
      </c>
      <c r="O144" s="639">
        <v>1</v>
      </c>
      <c r="P144" s="638">
        <f t="shared" si="38"/>
        <v>0</v>
      </c>
      <c r="Q144" s="638">
        <f t="shared" si="39"/>
        <v>0</v>
      </c>
      <c r="R144" s="639">
        <v>1</v>
      </c>
      <c r="S144" s="638">
        <f t="shared" si="40"/>
        <v>0</v>
      </c>
      <c r="T144" s="638">
        <f t="shared" si="41"/>
        <v>0</v>
      </c>
      <c r="U144" s="640">
        <f t="shared" si="42"/>
        <v>0</v>
      </c>
    </row>
    <row r="145" spans="2:21" ht="15" customHeight="1" x14ac:dyDescent="0.2">
      <c r="B145" s="633"/>
      <c r="C145" s="634" t="s">
        <v>469</v>
      </c>
      <c r="D145" s="780" t="s">
        <v>469</v>
      </c>
      <c r="E145" s="781"/>
      <c r="F145" s="635"/>
      <c r="G145" s="635"/>
      <c r="H145" s="636"/>
      <c r="I145" s="636"/>
      <c r="J145" s="637"/>
      <c r="K145" s="780"/>
      <c r="L145" s="782"/>
      <c r="M145" s="781"/>
      <c r="N145" s="638">
        <f t="shared" si="37"/>
        <v>0</v>
      </c>
      <c r="O145" s="639">
        <v>1</v>
      </c>
      <c r="P145" s="638">
        <f t="shared" si="38"/>
        <v>0</v>
      </c>
      <c r="Q145" s="638">
        <f t="shared" si="39"/>
        <v>0</v>
      </c>
      <c r="R145" s="639">
        <v>1</v>
      </c>
      <c r="S145" s="638">
        <f t="shared" si="40"/>
        <v>0</v>
      </c>
      <c r="T145" s="638">
        <f t="shared" si="41"/>
        <v>0</v>
      </c>
      <c r="U145" s="640">
        <f t="shared" si="42"/>
        <v>0</v>
      </c>
    </row>
    <row r="146" spans="2:21" ht="15" customHeight="1" x14ac:dyDescent="0.2">
      <c r="B146" s="633"/>
      <c r="C146" s="634" t="s">
        <v>469</v>
      </c>
      <c r="D146" s="780" t="s">
        <v>469</v>
      </c>
      <c r="E146" s="781"/>
      <c r="F146" s="635"/>
      <c r="G146" s="635"/>
      <c r="H146" s="636"/>
      <c r="I146" s="636"/>
      <c r="J146" s="637"/>
      <c r="K146" s="780"/>
      <c r="L146" s="782"/>
      <c r="M146" s="781"/>
      <c r="N146" s="638">
        <f t="shared" si="37"/>
        <v>0</v>
      </c>
      <c r="O146" s="639">
        <v>1</v>
      </c>
      <c r="P146" s="638">
        <f t="shared" si="38"/>
        <v>0</v>
      </c>
      <c r="Q146" s="638">
        <f t="shared" si="39"/>
        <v>0</v>
      </c>
      <c r="R146" s="639">
        <v>1</v>
      </c>
      <c r="S146" s="638">
        <f t="shared" si="40"/>
        <v>0</v>
      </c>
      <c r="T146" s="638">
        <f t="shared" si="41"/>
        <v>0</v>
      </c>
      <c r="U146" s="640">
        <f t="shared" si="42"/>
        <v>0</v>
      </c>
    </row>
    <row r="147" spans="2:21" ht="15" customHeight="1" x14ac:dyDescent="0.2">
      <c r="B147" s="633"/>
      <c r="C147" s="634" t="s">
        <v>469</v>
      </c>
      <c r="D147" s="780" t="s">
        <v>469</v>
      </c>
      <c r="E147" s="781"/>
      <c r="F147" s="635"/>
      <c r="G147" s="635"/>
      <c r="H147" s="636"/>
      <c r="I147" s="636"/>
      <c r="J147" s="637"/>
      <c r="K147" s="780"/>
      <c r="L147" s="782"/>
      <c r="M147" s="781"/>
      <c r="N147" s="638">
        <f t="shared" si="37"/>
        <v>0</v>
      </c>
      <c r="O147" s="639">
        <v>1</v>
      </c>
      <c r="P147" s="638">
        <f t="shared" si="38"/>
        <v>0</v>
      </c>
      <c r="Q147" s="638">
        <f t="shared" si="39"/>
        <v>0</v>
      </c>
      <c r="R147" s="639">
        <v>1</v>
      </c>
      <c r="S147" s="638">
        <f t="shared" si="40"/>
        <v>0</v>
      </c>
      <c r="T147" s="638">
        <f t="shared" si="41"/>
        <v>0</v>
      </c>
      <c r="U147" s="640">
        <f t="shared" si="42"/>
        <v>0</v>
      </c>
    </row>
    <row r="148" spans="2:21" ht="15" customHeight="1" x14ac:dyDescent="0.2">
      <c r="B148" s="633"/>
      <c r="C148" s="634" t="s">
        <v>469</v>
      </c>
      <c r="D148" s="780" t="s">
        <v>469</v>
      </c>
      <c r="E148" s="781"/>
      <c r="F148" s="635"/>
      <c r="G148" s="635"/>
      <c r="H148" s="636"/>
      <c r="I148" s="636"/>
      <c r="J148" s="637"/>
      <c r="K148" s="780"/>
      <c r="L148" s="782"/>
      <c r="M148" s="781"/>
      <c r="N148" s="638">
        <f t="shared" si="37"/>
        <v>0</v>
      </c>
      <c r="O148" s="639">
        <v>1</v>
      </c>
      <c r="P148" s="638">
        <f t="shared" si="38"/>
        <v>0</v>
      </c>
      <c r="Q148" s="638">
        <f t="shared" si="39"/>
        <v>0</v>
      </c>
      <c r="R148" s="639">
        <v>1</v>
      </c>
      <c r="S148" s="638">
        <f t="shared" si="40"/>
        <v>0</v>
      </c>
      <c r="T148" s="638">
        <f t="shared" si="41"/>
        <v>0</v>
      </c>
      <c r="U148" s="640">
        <f t="shared" si="42"/>
        <v>0</v>
      </c>
    </row>
    <row r="149" spans="2:21" ht="15" customHeight="1" x14ac:dyDescent="0.2">
      <c r="B149" s="633"/>
      <c r="C149" s="634" t="s">
        <v>469</v>
      </c>
      <c r="D149" s="780" t="s">
        <v>469</v>
      </c>
      <c r="E149" s="781"/>
      <c r="F149" s="635"/>
      <c r="G149" s="635"/>
      <c r="H149" s="636"/>
      <c r="I149" s="636"/>
      <c r="J149" s="637"/>
      <c r="K149" s="780"/>
      <c r="L149" s="782"/>
      <c r="M149" s="781"/>
      <c r="N149" s="638">
        <f t="shared" si="37"/>
        <v>0</v>
      </c>
      <c r="O149" s="639">
        <v>1</v>
      </c>
      <c r="P149" s="638">
        <f t="shared" si="38"/>
        <v>0</v>
      </c>
      <c r="Q149" s="638">
        <f t="shared" si="39"/>
        <v>0</v>
      </c>
      <c r="R149" s="639">
        <v>1</v>
      </c>
      <c r="S149" s="638">
        <f t="shared" si="40"/>
        <v>0</v>
      </c>
      <c r="T149" s="638">
        <f t="shared" si="41"/>
        <v>0</v>
      </c>
      <c r="U149" s="640">
        <f t="shared" si="42"/>
        <v>0</v>
      </c>
    </row>
    <row r="150" spans="2:21" ht="15" customHeight="1" x14ac:dyDescent="0.2">
      <c r="B150" s="633"/>
      <c r="C150" s="634" t="s">
        <v>469</v>
      </c>
      <c r="D150" s="780" t="s">
        <v>469</v>
      </c>
      <c r="E150" s="781"/>
      <c r="F150" s="635"/>
      <c r="G150" s="635"/>
      <c r="H150" s="636"/>
      <c r="I150" s="636"/>
      <c r="J150" s="637"/>
      <c r="K150" s="780"/>
      <c r="L150" s="782"/>
      <c r="M150" s="781"/>
      <c r="N150" s="638">
        <f t="shared" si="37"/>
        <v>0</v>
      </c>
      <c r="O150" s="639">
        <v>1</v>
      </c>
      <c r="P150" s="638">
        <f t="shared" si="38"/>
        <v>0</v>
      </c>
      <c r="Q150" s="638">
        <f t="shared" si="39"/>
        <v>0</v>
      </c>
      <c r="R150" s="639">
        <v>1</v>
      </c>
      <c r="S150" s="638">
        <f t="shared" si="40"/>
        <v>0</v>
      </c>
      <c r="T150" s="638">
        <f t="shared" si="41"/>
        <v>0</v>
      </c>
      <c r="U150" s="640">
        <f t="shared" si="42"/>
        <v>0</v>
      </c>
    </row>
    <row r="151" spans="2:21" ht="15" customHeight="1" x14ac:dyDescent="0.2">
      <c r="B151" s="633"/>
      <c r="C151" s="634" t="s">
        <v>469</v>
      </c>
      <c r="D151" s="780" t="s">
        <v>469</v>
      </c>
      <c r="E151" s="781"/>
      <c r="F151" s="635"/>
      <c r="G151" s="635"/>
      <c r="H151" s="636"/>
      <c r="I151" s="636"/>
      <c r="J151" s="637"/>
      <c r="K151" s="780"/>
      <c r="L151" s="782"/>
      <c r="M151" s="781"/>
      <c r="N151" s="638">
        <f t="shared" si="37"/>
        <v>0</v>
      </c>
      <c r="O151" s="639">
        <v>1</v>
      </c>
      <c r="P151" s="638">
        <f t="shared" si="38"/>
        <v>0</v>
      </c>
      <c r="Q151" s="638">
        <f t="shared" si="39"/>
        <v>0</v>
      </c>
      <c r="R151" s="639">
        <v>1</v>
      </c>
      <c r="S151" s="638">
        <f t="shared" si="40"/>
        <v>0</v>
      </c>
      <c r="T151" s="638">
        <f t="shared" si="41"/>
        <v>0</v>
      </c>
      <c r="U151" s="640">
        <f t="shared" si="42"/>
        <v>0</v>
      </c>
    </row>
    <row r="152" spans="2:21" ht="15" customHeight="1" x14ac:dyDescent="0.2">
      <c r="B152" s="633"/>
      <c r="C152" s="634" t="s">
        <v>469</v>
      </c>
      <c r="D152" s="780" t="s">
        <v>469</v>
      </c>
      <c r="E152" s="781"/>
      <c r="F152" s="635"/>
      <c r="G152" s="635"/>
      <c r="H152" s="636"/>
      <c r="I152" s="636"/>
      <c r="J152" s="637"/>
      <c r="K152" s="780"/>
      <c r="L152" s="782"/>
      <c r="M152" s="781"/>
      <c r="N152" s="638">
        <f t="shared" si="37"/>
        <v>0</v>
      </c>
      <c r="O152" s="639">
        <v>1</v>
      </c>
      <c r="P152" s="638">
        <f t="shared" si="38"/>
        <v>0</v>
      </c>
      <c r="Q152" s="638">
        <f t="shared" si="39"/>
        <v>0</v>
      </c>
      <c r="R152" s="639">
        <v>1</v>
      </c>
      <c r="S152" s="638">
        <f t="shared" si="40"/>
        <v>0</v>
      </c>
      <c r="T152" s="638">
        <f t="shared" si="41"/>
        <v>0</v>
      </c>
      <c r="U152" s="640">
        <f t="shared" si="42"/>
        <v>0</v>
      </c>
    </row>
    <row r="153" spans="2:21" ht="15" customHeight="1" x14ac:dyDescent="0.2">
      <c r="B153" s="633"/>
      <c r="C153" s="634" t="s">
        <v>469</v>
      </c>
      <c r="D153" s="780" t="s">
        <v>469</v>
      </c>
      <c r="E153" s="781"/>
      <c r="F153" s="635"/>
      <c r="G153" s="635"/>
      <c r="H153" s="636"/>
      <c r="I153" s="636"/>
      <c r="J153" s="637"/>
      <c r="K153" s="780"/>
      <c r="L153" s="782"/>
      <c r="M153" s="781"/>
      <c r="N153" s="638">
        <f t="shared" si="37"/>
        <v>0</v>
      </c>
      <c r="O153" s="639">
        <v>1</v>
      </c>
      <c r="P153" s="638">
        <f t="shared" si="38"/>
        <v>0</v>
      </c>
      <c r="Q153" s="638">
        <f t="shared" si="39"/>
        <v>0</v>
      </c>
      <c r="R153" s="639">
        <v>1</v>
      </c>
      <c r="S153" s="638">
        <f t="shared" si="40"/>
        <v>0</v>
      </c>
      <c r="T153" s="638">
        <f t="shared" si="41"/>
        <v>0</v>
      </c>
      <c r="U153" s="640">
        <f t="shared" si="42"/>
        <v>0</v>
      </c>
    </row>
    <row r="154" spans="2:21" ht="15" customHeight="1" x14ac:dyDescent="0.2">
      <c r="B154" s="633"/>
      <c r="C154" s="634" t="s">
        <v>469</v>
      </c>
      <c r="D154" s="780" t="s">
        <v>469</v>
      </c>
      <c r="E154" s="781"/>
      <c r="F154" s="635"/>
      <c r="G154" s="635"/>
      <c r="H154" s="636"/>
      <c r="I154" s="636"/>
      <c r="J154" s="637"/>
      <c r="K154" s="780"/>
      <c r="L154" s="782"/>
      <c r="M154" s="781"/>
      <c r="N154" s="638">
        <f t="shared" si="37"/>
        <v>0</v>
      </c>
      <c r="O154" s="639">
        <v>1</v>
      </c>
      <c r="P154" s="638">
        <f t="shared" si="38"/>
        <v>0</v>
      </c>
      <c r="Q154" s="638">
        <f t="shared" si="39"/>
        <v>0</v>
      </c>
      <c r="R154" s="639">
        <v>1</v>
      </c>
      <c r="S154" s="638">
        <f t="shared" si="40"/>
        <v>0</v>
      </c>
      <c r="T154" s="638">
        <f t="shared" si="41"/>
        <v>0</v>
      </c>
      <c r="U154" s="640">
        <f t="shared" si="42"/>
        <v>0</v>
      </c>
    </row>
    <row r="155" spans="2:21" ht="15" customHeight="1" x14ac:dyDescent="0.2">
      <c r="B155" s="633"/>
      <c r="C155" s="634" t="s">
        <v>469</v>
      </c>
      <c r="D155" s="780" t="s">
        <v>469</v>
      </c>
      <c r="E155" s="781"/>
      <c r="F155" s="635"/>
      <c r="G155" s="635"/>
      <c r="H155" s="636"/>
      <c r="I155" s="636"/>
      <c r="J155" s="637"/>
      <c r="K155" s="780"/>
      <c r="L155" s="782"/>
      <c r="M155" s="781"/>
      <c r="N155" s="638">
        <f t="shared" si="37"/>
        <v>0</v>
      </c>
      <c r="O155" s="639">
        <v>1</v>
      </c>
      <c r="P155" s="638">
        <f t="shared" ref="P155:P158" si="43">N155*O155</f>
        <v>0</v>
      </c>
      <c r="Q155" s="638">
        <f t="shared" si="39"/>
        <v>0</v>
      </c>
      <c r="R155" s="639">
        <v>1</v>
      </c>
      <c r="S155" s="638">
        <f t="shared" ref="S155:S158" si="44">Q155*R155</f>
        <v>0</v>
      </c>
      <c r="T155" s="638">
        <f t="shared" si="41"/>
        <v>0</v>
      </c>
      <c r="U155" s="640">
        <f t="shared" si="42"/>
        <v>0</v>
      </c>
    </row>
    <row r="156" spans="2:21" ht="15" customHeight="1" x14ac:dyDescent="0.2">
      <c r="B156" s="633"/>
      <c r="C156" s="634" t="s">
        <v>469</v>
      </c>
      <c r="D156" s="780" t="s">
        <v>469</v>
      </c>
      <c r="E156" s="781"/>
      <c r="F156" s="635"/>
      <c r="G156" s="635"/>
      <c r="H156" s="636"/>
      <c r="I156" s="636"/>
      <c r="J156" s="637"/>
      <c r="K156" s="780"/>
      <c r="L156" s="782"/>
      <c r="M156" s="781"/>
      <c r="N156" s="638">
        <f t="shared" si="37"/>
        <v>0</v>
      </c>
      <c r="O156" s="639">
        <v>1</v>
      </c>
      <c r="P156" s="638">
        <f t="shared" si="43"/>
        <v>0</v>
      </c>
      <c r="Q156" s="638">
        <f t="shared" si="39"/>
        <v>0</v>
      </c>
      <c r="R156" s="639">
        <v>1</v>
      </c>
      <c r="S156" s="638">
        <f t="shared" si="44"/>
        <v>0</v>
      </c>
      <c r="T156" s="638">
        <f t="shared" si="41"/>
        <v>0</v>
      </c>
      <c r="U156" s="640">
        <f t="shared" si="42"/>
        <v>0</v>
      </c>
    </row>
    <row r="157" spans="2:21" ht="15" customHeight="1" x14ac:dyDescent="0.2">
      <c r="B157" s="633"/>
      <c r="C157" s="634" t="s">
        <v>469</v>
      </c>
      <c r="D157" s="780" t="s">
        <v>469</v>
      </c>
      <c r="E157" s="781"/>
      <c r="F157" s="635"/>
      <c r="G157" s="635"/>
      <c r="H157" s="636"/>
      <c r="I157" s="636"/>
      <c r="J157" s="637"/>
      <c r="K157" s="780"/>
      <c r="L157" s="782"/>
      <c r="M157" s="781"/>
      <c r="N157" s="638">
        <f t="shared" si="37"/>
        <v>0</v>
      </c>
      <c r="O157" s="639">
        <v>1</v>
      </c>
      <c r="P157" s="638">
        <f t="shared" si="43"/>
        <v>0</v>
      </c>
      <c r="Q157" s="638">
        <f t="shared" si="39"/>
        <v>0</v>
      </c>
      <c r="R157" s="639">
        <v>1</v>
      </c>
      <c r="S157" s="638">
        <f t="shared" si="44"/>
        <v>0</v>
      </c>
      <c r="T157" s="638">
        <f t="shared" si="41"/>
        <v>0</v>
      </c>
      <c r="U157" s="640">
        <f t="shared" si="42"/>
        <v>0</v>
      </c>
    </row>
    <row r="158" spans="2:21" ht="15" customHeight="1" thickBot="1" x14ac:dyDescent="0.25">
      <c r="B158" s="645"/>
      <c r="C158" s="646" t="s">
        <v>469</v>
      </c>
      <c r="D158" s="787" t="s">
        <v>469</v>
      </c>
      <c r="E158" s="788"/>
      <c r="F158" s="647"/>
      <c r="G158" s="647"/>
      <c r="H158" s="648"/>
      <c r="I158" s="648"/>
      <c r="J158" s="649"/>
      <c r="K158" s="787"/>
      <c r="L158" s="789"/>
      <c r="M158" s="788"/>
      <c r="N158" s="650">
        <f t="shared" si="37"/>
        <v>0</v>
      </c>
      <c r="O158" s="651">
        <v>1</v>
      </c>
      <c r="P158" s="650">
        <f t="shared" si="43"/>
        <v>0</v>
      </c>
      <c r="Q158" s="650">
        <f t="shared" si="39"/>
        <v>0</v>
      </c>
      <c r="R158" s="651">
        <v>1</v>
      </c>
      <c r="S158" s="650">
        <f t="shared" si="44"/>
        <v>0</v>
      </c>
      <c r="T158" s="650">
        <f t="shared" si="41"/>
        <v>0</v>
      </c>
      <c r="U158" s="652">
        <f t="shared" si="42"/>
        <v>0</v>
      </c>
    </row>
    <row r="159" spans="2:21" ht="12" customHeight="1" x14ac:dyDescent="0.2"/>
    <row r="160" spans="2:21" ht="30" customHeight="1" x14ac:dyDescent="0.2">
      <c r="B160" s="785"/>
      <c r="C160" s="786"/>
      <c r="D160" s="653"/>
      <c r="E160" s="570"/>
      <c r="F160" s="570"/>
      <c r="G160" s="570"/>
      <c r="H160" s="570"/>
      <c r="I160" s="570"/>
      <c r="J160" s="570"/>
      <c r="K160" s="570"/>
      <c r="L160" s="570"/>
    </row>
  </sheetData>
  <sheetProtection algorithmName="SHA-512" hashValue="7OPfoWW9LipdVG+Yd77Sd1epZcd2cx0oy874RJH5vKXYbVVqSEL7FROORWOsCNw8PMFiHr/wjsUBRqT4+VWToQ==" saltValue="jx67Zclg7/AJZx0T8ENhLQ==" spinCount="100000" sheet="1" objects="1" scenarios="1" formatCells="0"/>
  <mergeCells count="169">
    <mergeCell ref="B160:C160"/>
    <mergeCell ref="D156:E156"/>
    <mergeCell ref="K156:M156"/>
    <mergeCell ref="D157:E157"/>
    <mergeCell ref="K157:M157"/>
    <mergeCell ref="D158:E158"/>
    <mergeCell ref="K158:M158"/>
    <mergeCell ref="D153:E153"/>
    <mergeCell ref="K153:M153"/>
    <mergeCell ref="D154:E154"/>
    <mergeCell ref="K154:M154"/>
    <mergeCell ref="D155:E155"/>
    <mergeCell ref="K155:M155"/>
    <mergeCell ref="D150:E150"/>
    <mergeCell ref="K150:M150"/>
    <mergeCell ref="D151:E151"/>
    <mergeCell ref="K151:M151"/>
    <mergeCell ref="D152:E152"/>
    <mergeCell ref="K152:M152"/>
    <mergeCell ref="D147:E147"/>
    <mergeCell ref="K147:M147"/>
    <mergeCell ref="D148:E148"/>
    <mergeCell ref="K148:M148"/>
    <mergeCell ref="D149:E149"/>
    <mergeCell ref="K149:M149"/>
    <mergeCell ref="D144:E144"/>
    <mergeCell ref="K144:M144"/>
    <mergeCell ref="D145:E145"/>
    <mergeCell ref="K145:M145"/>
    <mergeCell ref="D146:E146"/>
    <mergeCell ref="K146:M146"/>
    <mergeCell ref="D141:E141"/>
    <mergeCell ref="K141:M141"/>
    <mergeCell ref="D142:E142"/>
    <mergeCell ref="K142:M142"/>
    <mergeCell ref="D143:E143"/>
    <mergeCell ref="K143:M143"/>
    <mergeCell ref="D138:E138"/>
    <mergeCell ref="K138:M138"/>
    <mergeCell ref="D139:E139"/>
    <mergeCell ref="K139:M139"/>
    <mergeCell ref="D140:E140"/>
    <mergeCell ref="K140:M140"/>
    <mergeCell ref="D135:E135"/>
    <mergeCell ref="K135:M135"/>
    <mergeCell ref="D136:E136"/>
    <mergeCell ref="K136:M136"/>
    <mergeCell ref="D137:E137"/>
    <mergeCell ref="K137:M137"/>
    <mergeCell ref="D132:E132"/>
    <mergeCell ref="K132:M132"/>
    <mergeCell ref="D133:E133"/>
    <mergeCell ref="K133:M133"/>
    <mergeCell ref="D134:E134"/>
    <mergeCell ref="K134:M134"/>
    <mergeCell ref="D129:E129"/>
    <mergeCell ref="K129:M129"/>
    <mergeCell ref="D130:E130"/>
    <mergeCell ref="K130:M130"/>
    <mergeCell ref="D131:E131"/>
    <mergeCell ref="K131:M131"/>
    <mergeCell ref="D126:E126"/>
    <mergeCell ref="K126:M126"/>
    <mergeCell ref="D127:E127"/>
    <mergeCell ref="K127:M127"/>
    <mergeCell ref="D128:E128"/>
    <mergeCell ref="K128:M128"/>
    <mergeCell ref="D121:E121"/>
    <mergeCell ref="D122:E122"/>
    <mergeCell ref="D123:E123"/>
    <mergeCell ref="D124:E124"/>
    <mergeCell ref="K124:M124"/>
    <mergeCell ref="D125:E125"/>
    <mergeCell ref="K125:M125"/>
    <mergeCell ref="D115:E115"/>
    <mergeCell ref="D116:E116"/>
    <mergeCell ref="D117:E117"/>
    <mergeCell ref="D118:E118"/>
    <mergeCell ref="D119:E119"/>
    <mergeCell ref="D120:E120"/>
    <mergeCell ref="D109:E109"/>
    <mergeCell ref="D110:E110"/>
    <mergeCell ref="D111:E111"/>
    <mergeCell ref="D112:E112"/>
    <mergeCell ref="D113:E113"/>
    <mergeCell ref="D114:E114"/>
    <mergeCell ref="D103:E103"/>
    <mergeCell ref="D104:E104"/>
    <mergeCell ref="D105:E105"/>
    <mergeCell ref="D106:E106"/>
    <mergeCell ref="D107:E107"/>
    <mergeCell ref="D108:E108"/>
    <mergeCell ref="D97:E97"/>
    <mergeCell ref="D98:E98"/>
    <mergeCell ref="D99:E99"/>
    <mergeCell ref="D100:E100"/>
    <mergeCell ref="D101:E101"/>
    <mergeCell ref="D102:E102"/>
    <mergeCell ref="D91:E91"/>
    <mergeCell ref="D92:E92"/>
    <mergeCell ref="D93:E93"/>
    <mergeCell ref="D94:E94"/>
    <mergeCell ref="D95:E95"/>
    <mergeCell ref="D96:E96"/>
    <mergeCell ref="D85:E85"/>
    <mergeCell ref="D86:E86"/>
    <mergeCell ref="D87:E87"/>
    <mergeCell ref="D88:E88"/>
    <mergeCell ref="D89:E89"/>
    <mergeCell ref="D90:E90"/>
    <mergeCell ref="D79:E79"/>
    <mergeCell ref="D80:E80"/>
    <mergeCell ref="D81:E81"/>
    <mergeCell ref="D82:E82"/>
    <mergeCell ref="D83:E83"/>
    <mergeCell ref="D84:E84"/>
    <mergeCell ref="D76:E76"/>
    <mergeCell ref="K76:M76"/>
    <mergeCell ref="D77:E77"/>
    <mergeCell ref="K77:M77"/>
    <mergeCell ref="D78:E78"/>
    <mergeCell ref="K78:M78"/>
    <mergeCell ref="D73:E73"/>
    <mergeCell ref="K73:M73"/>
    <mergeCell ref="D74:E74"/>
    <mergeCell ref="K74:M74"/>
    <mergeCell ref="D75:E75"/>
    <mergeCell ref="K75:M75"/>
    <mergeCell ref="D70:E70"/>
    <mergeCell ref="K70:M70"/>
    <mergeCell ref="D71:E71"/>
    <mergeCell ref="K71:M71"/>
    <mergeCell ref="D72:E72"/>
    <mergeCell ref="K72:M72"/>
    <mergeCell ref="D67:E67"/>
    <mergeCell ref="K67:M67"/>
    <mergeCell ref="D68:E68"/>
    <mergeCell ref="K68:M68"/>
    <mergeCell ref="D69:E69"/>
    <mergeCell ref="K69:M69"/>
    <mergeCell ref="D64:E64"/>
    <mergeCell ref="K64:M64"/>
    <mergeCell ref="D65:E65"/>
    <mergeCell ref="K65:M65"/>
    <mergeCell ref="D66:E66"/>
    <mergeCell ref="K66:M66"/>
    <mergeCell ref="D61:E61"/>
    <mergeCell ref="K61:M61"/>
    <mergeCell ref="D62:E62"/>
    <mergeCell ref="K62:M62"/>
    <mergeCell ref="D63:E63"/>
    <mergeCell ref="K63:M63"/>
    <mergeCell ref="D57:E57"/>
    <mergeCell ref="K57:M57"/>
    <mergeCell ref="D59:E59"/>
    <mergeCell ref="K59:M59"/>
    <mergeCell ref="D60:E60"/>
    <mergeCell ref="K60:M60"/>
    <mergeCell ref="B6:C6"/>
    <mergeCell ref="B55:Q55"/>
    <mergeCell ref="N56:P56"/>
    <mergeCell ref="Q56:S56"/>
    <mergeCell ref="T56:U56"/>
    <mergeCell ref="B3:C3"/>
    <mergeCell ref="B4:C4"/>
    <mergeCell ref="F4:H5"/>
    <mergeCell ref="I4:I5"/>
    <mergeCell ref="B5:C5"/>
    <mergeCell ref="J1:U4"/>
  </mergeCells>
  <dataValidations count="2">
    <dataValidation type="decimal" operator="greaterThanOrEqual" allowBlank="1" showInputMessage="1" showErrorMessage="1" error="Bitte eine Dezimalzahl größer oder gleich Null eintragen!" sqref="I65536:M65542 JE65536:JI65542 TA65536:TE65542 ACW65536:ADA65542 AMS65536:AMW65542 AWO65536:AWS65542 BGK65536:BGO65542 BQG65536:BQK65542 CAC65536:CAG65542 CJY65536:CKC65542 CTU65536:CTY65542 DDQ65536:DDU65542 DNM65536:DNQ65542 DXI65536:DXM65542 EHE65536:EHI65542 ERA65536:ERE65542 FAW65536:FBA65542 FKS65536:FKW65542 FUO65536:FUS65542 GEK65536:GEO65542 GOG65536:GOK65542 GYC65536:GYG65542 HHY65536:HIC65542 HRU65536:HRY65542 IBQ65536:IBU65542 ILM65536:ILQ65542 IVI65536:IVM65542 JFE65536:JFI65542 JPA65536:JPE65542 JYW65536:JZA65542 KIS65536:KIW65542 KSO65536:KSS65542 LCK65536:LCO65542 LMG65536:LMK65542 LWC65536:LWG65542 MFY65536:MGC65542 MPU65536:MPY65542 MZQ65536:MZU65542 NJM65536:NJQ65542 NTI65536:NTM65542 ODE65536:ODI65542 ONA65536:ONE65542 OWW65536:OXA65542 PGS65536:PGW65542 PQO65536:PQS65542 QAK65536:QAO65542 QKG65536:QKK65542 QUC65536:QUG65542 RDY65536:REC65542 RNU65536:RNY65542 RXQ65536:RXU65542 SHM65536:SHQ65542 SRI65536:SRM65542 TBE65536:TBI65542 TLA65536:TLE65542 TUW65536:TVA65542 UES65536:UEW65542 UOO65536:UOS65542 UYK65536:UYO65542 VIG65536:VIK65542 VSC65536:VSG65542 WBY65536:WCC65542 WLU65536:WLY65542 WVQ65536:WVU65542 I131072:M131078 JE131072:JI131078 TA131072:TE131078 ACW131072:ADA131078 AMS131072:AMW131078 AWO131072:AWS131078 BGK131072:BGO131078 BQG131072:BQK131078 CAC131072:CAG131078 CJY131072:CKC131078 CTU131072:CTY131078 DDQ131072:DDU131078 DNM131072:DNQ131078 DXI131072:DXM131078 EHE131072:EHI131078 ERA131072:ERE131078 FAW131072:FBA131078 FKS131072:FKW131078 FUO131072:FUS131078 GEK131072:GEO131078 GOG131072:GOK131078 GYC131072:GYG131078 HHY131072:HIC131078 HRU131072:HRY131078 IBQ131072:IBU131078 ILM131072:ILQ131078 IVI131072:IVM131078 JFE131072:JFI131078 JPA131072:JPE131078 JYW131072:JZA131078 KIS131072:KIW131078 KSO131072:KSS131078 LCK131072:LCO131078 LMG131072:LMK131078 LWC131072:LWG131078 MFY131072:MGC131078 MPU131072:MPY131078 MZQ131072:MZU131078 NJM131072:NJQ131078 NTI131072:NTM131078 ODE131072:ODI131078 ONA131072:ONE131078 OWW131072:OXA131078 PGS131072:PGW131078 PQO131072:PQS131078 QAK131072:QAO131078 QKG131072:QKK131078 QUC131072:QUG131078 RDY131072:REC131078 RNU131072:RNY131078 RXQ131072:RXU131078 SHM131072:SHQ131078 SRI131072:SRM131078 TBE131072:TBI131078 TLA131072:TLE131078 TUW131072:TVA131078 UES131072:UEW131078 UOO131072:UOS131078 UYK131072:UYO131078 VIG131072:VIK131078 VSC131072:VSG131078 WBY131072:WCC131078 WLU131072:WLY131078 WVQ131072:WVU131078 I196608:M196614 JE196608:JI196614 TA196608:TE196614 ACW196608:ADA196614 AMS196608:AMW196614 AWO196608:AWS196614 BGK196608:BGO196614 BQG196608:BQK196614 CAC196608:CAG196614 CJY196608:CKC196614 CTU196608:CTY196614 DDQ196608:DDU196614 DNM196608:DNQ196614 DXI196608:DXM196614 EHE196608:EHI196614 ERA196608:ERE196614 FAW196608:FBA196614 FKS196608:FKW196614 FUO196608:FUS196614 GEK196608:GEO196614 GOG196608:GOK196614 GYC196608:GYG196614 HHY196608:HIC196614 HRU196608:HRY196614 IBQ196608:IBU196614 ILM196608:ILQ196614 IVI196608:IVM196614 JFE196608:JFI196614 JPA196608:JPE196614 JYW196608:JZA196614 KIS196608:KIW196614 KSO196608:KSS196614 LCK196608:LCO196614 LMG196608:LMK196614 LWC196608:LWG196614 MFY196608:MGC196614 MPU196608:MPY196614 MZQ196608:MZU196614 NJM196608:NJQ196614 NTI196608:NTM196614 ODE196608:ODI196614 ONA196608:ONE196614 OWW196608:OXA196614 PGS196608:PGW196614 PQO196608:PQS196614 QAK196608:QAO196614 QKG196608:QKK196614 QUC196608:QUG196614 RDY196608:REC196614 RNU196608:RNY196614 RXQ196608:RXU196614 SHM196608:SHQ196614 SRI196608:SRM196614 TBE196608:TBI196614 TLA196608:TLE196614 TUW196608:TVA196614 UES196608:UEW196614 UOO196608:UOS196614 UYK196608:UYO196614 VIG196608:VIK196614 VSC196608:VSG196614 WBY196608:WCC196614 WLU196608:WLY196614 WVQ196608:WVU196614 I262144:M262150 JE262144:JI262150 TA262144:TE262150 ACW262144:ADA262150 AMS262144:AMW262150 AWO262144:AWS262150 BGK262144:BGO262150 BQG262144:BQK262150 CAC262144:CAG262150 CJY262144:CKC262150 CTU262144:CTY262150 DDQ262144:DDU262150 DNM262144:DNQ262150 DXI262144:DXM262150 EHE262144:EHI262150 ERA262144:ERE262150 FAW262144:FBA262150 FKS262144:FKW262150 FUO262144:FUS262150 GEK262144:GEO262150 GOG262144:GOK262150 GYC262144:GYG262150 HHY262144:HIC262150 HRU262144:HRY262150 IBQ262144:IBU262150 ILM262144:ILQ262150 IVI262144:IVM262150 JFE262144:JFI262150 JPA262144:JPE262150 JYW262144:JZA262150 KIS262144:KIW262150 KSO262144:KSS262150 LCK262144:LCO262150 LMG262144:LMK262150 LWC262144:LWG262150 MFY262144:MGC262150 MPU262144:MPY262150 MZQ262144:MZU262150 NJM262144:NJQ262150 NTI262144:NTM262150 ODE262144:ODI262150 ONA262144:ONE262150 OWW262144:OXA262150 PGS262144:PGW262150 PQO262144:PQS262150 QAK262144:QAO262150 QKG262144:QKK262150 QUC262144:QUG262150 RDY262144:REC262150 RNU262144:RNY262150 RXQ262144:RXU262150 SHM262144:SHQ262150 SRI262144:SRM262150 TBE262144:TBI262150 TLA262144:TLE262150 TUW262144:TVA262150 UES262144:UEW262150 UOO262144:UOS262150 UYK262144:UYO262150 VIG262144:VIK262150 VSC262144:VSG262150 WBY262144:WCC262150 WLU262144:WLY262150 WVQ262144:WVU262150 I327680:M327686 JE327680:JI327686 TA327680:TE327686 ACW327680:ADA327686 AMS327680:AMW327686 AWO327680:AWS327686 BGK327680:BGO327686 BQG327680:BQK327686 CAC327680:CAG327686 CJY327680:CKC327686 CTU327680:CTY327686 DDQ327680:DDU327686 DNM327680:DNQ327686 DXI327680:DXM327686 EHE327680:EHI327686 ERA327680:ERE327686 FAW327680:FBA327686 FKS327680:FKW327686 FUO327680:FUS327686 GEK327680:GEO327686 GOG327680:GOK327686 GYC327680:GYG327686 HHY327680:HIC327686 HRU327680:HRY327686 IBQ327680:IBU327686 ILM327680:ILQ327686 IVI327680:IVM327686 JFE327680:JFI327686 JPA327680:JPE327686 JYW327680:JZA327686 KIS327680:KIW327686 KSO327680:KSS327686 LCK327680:LCO327686 LMG327680:LMK327686 LWC327680:LWG327686 MFY327680:MGC327686 MPU327680:MPY327686 MZQ327680:MZU327686 NJM327680:NJQ327686 NTI327680:NTM327686 ODE327680:ODI327686 ONA327680:ONE327686 OWW327680:OXA327686 PGS327680:PGW327686 PQO327680:PQS327686 QAK327680:QAO327686 QKG327680:QKK327686 QUC327680:QUG327686 RDY327680:REC327686 RNU327680:RNY327686 RXQ327680:RXU327686 SHM327680:SHQ327686 SRI327680:SRM327686 TBE327680:TBI327686 TLA327680:TLE327686 TUW327680:TVA327686 UES327680:UEW327686 UOO327680:UOS327686 UYK327680:UYO327686 VIG327680:VIK327686 VSC327680:VSG327686 WBY327680:WCC327686 WLU327680:WLY327686 WVQ327680:WVU327686 I393216:M393222 JE393216:JI393222 TA393216:TE393222 ACW393216:ADA393222 AMS393216:AMW393222 AWO393216:AWS393222 BGK393216:BGO393222 BQG393216:BQK393222 CAC393216:CAG393222 CJY393216:CKC393222 CTU393216:CTY393222 DDQ393216:DDU393222 DNM393216:DNQ393222 DXI393216:DXM393222 EHE393216:EHI393222 ERA393216:ERE393222 FAW393216:FBA393222 FKS393216:FKW393222 FUO393216:FUS393222 GEK393216:GEO393222 GOG393216:GOK393222 GYC393216:GYG393222 HHY393216:HIC393222 HRU393216:HRY393222 IBQ393216:IBU393222 ILM393216:ILQ393222 IVI393216:IVM393222 JFE393216:JFI393222 JPA393216:JPE393222 JYW393216:JZA393222 KIS393216:KIW393222 KSO393216:KSS393222 LCK393216:LCO393222 LMG393216:LMK393222 LWC393216:LWG393222 MFY393216:MGC393222 MPU393216:MPY393222 MZQ393216:MZU393222 NJM393216:NJQ393222 NTI393216:NTM393222 ODE393216:ODI393222 ONA393216:ONE393222 OWW393216:OXA393222 PGS393216:PGW393222 PQO393216:PQS393222 QAK393216:QAO393222 QKG393216:QKK393222 QUC393216:QUG393222 RDY393216:REC393222 RNU393216:RNY393222 RXQ393216:RXU393222 SHM393216:SHQ393222 SRI393216:SRM393222 TBE393216:TBI393222 TLA393216:TLE393222 TUW393216:TVA393222 UES393216:UEW393222 UOO393216:UOS393222 UYK393216:UYO393222 VIG393216:VIK393222 VSC393216:VSG393222 WBY393216:WCC393222 WLU393216:WLY393222 WVQ393216:WVU393222 I458752:M458758 JE458752:JI458758 TA458752:TE458758 ACW458752:ADA458758 AMS458752:AMW458758 AWO458752:AWS458758 BGK458752:BGO458758 BQG458752:BQK458758 CAC458752:CAG458758 CJY458752:CKC458758 CTU458752:CTY458758 DDQ458752:DDU458758 DNM458752:DNQ458758 DXI458752:DXM458758 EHE458752:EHI458758 ERA458752:ERE458758 FAW458752:FBA458758 FKS458752:FKW458758 FUO458752:FUS458758 GEK458752:GEO458758 GOG458752:GOK458758 GYC458752:GYG458758 HHY458752:HIC458758 HRU458752:HRY458758 IBQ458752:IBU458758 ILM458752:ILQ458758 IVI458752:IVM458758 JFE458752:JFI458758 JPA458752:JPE458758 JYW458752:JZA458758 KIS458752:KIW458758 KSO458752:KSS458758 LCK458752:LCO458758 LMG458752:LMK458758 LWC458752:LWG458758 MFY458752:MGC458758 MPU458752:MPY458758 MZQ458752:MZU458758 NJM458752:NJQ458758 NTI458752:NTM458758 ODE458752:ODI458758 ONA458752:ONE458758 OWW458752:OXA458758 PGS458752:PGW458758 PQO458752:PQS458758 QAK458752:QAO458758 QKG458752:QKK458758 QUC458752:QUG458758 RDY458752:REC458758 RNU458752:RNY458758 RXQ458752:RXU458758 SHM458752:SHQ458758 SRI458752:SRM458758 TBE458752:TBI458758 TLA458752:TLE458758 TUW458752:TVA458758 UES458752:UEW458758 UOO458752:UOS458758 UYK458752:UYO458758 VIG458752:VIK458758 VSC458752:VSG458758 WBY458752:WCC458758 WLU458752:WLY458758 WVQ458752:WVU458758 I524288:M524294 JE524288:JI524294 TA524288:TE524294 ACW524288:ADA524294 AMS524288:AMW524294 AWO524288:AWS524294 BGK524288:BGO524294 BQG524288:BQK524294 CAC524288:CAG524294 CJY524288:CKC524294 CTU524288:CTY524294 DDQ524288:DDU524294 DNM524288:DNQ524294 DXI524288:DXM524294 EHE524288:EHI524294 ERA524288:ERE524294 FAW524288:FBA524294 FKS524288:FKW524294 FUO524288:FUS524294 GEK524288:GEO524294 GOG524288:GOK524294 GYC524288:GYG524294 HHY524288:HIC524294 HRU524288:HRY524294 IBQ524288:IBU524294 ILM524288:ILQ524294 IVI524288:IVM524294 JFE524288:JFI524294 JPA524288:JPE524294 JYW524288:JZA524294 KIS524288:KIW524294 KSO524288:KSS524294 LCK524288:LCO524294 LMG524288:LMK524294 LWC524288:LWG524294 MFY524288:MGC524294 MPU524288:MPY524294 MZQ524288:MZU524294 NJM524288:NJQ524294 NTI524288:NTM524294 ODE524288:ODI524294 ONA524288:ONE524294 OWW524288:OXA524294 PGS524288:PGW524294 PQO524288:PQS524294 QAK524288:QAO524294 QKG524288:QKK524294 QUC524288:QUG524294 RDY524288:REC524294 RNU524288:RNY524294 RXQ524288:RXU524294 SHM524288:SHQ524294 SRI524288:SRM524294 TBE524288:TBI524294 TLA524288:TLE524294 TUW524288:TVA524294 UES524288:UEW524294 UOO524288:UOS524294 UYK524288:UYO524294 VIG524288:VIK524294 VSC524288:VSG524294 WBY524288:WCC524294 WLU524288:WLY524294 WVQ524288:WVU524294 I589824:M589830 JE589824:JI589830 TA589824:TE589830 ACW589824:ADA589830 AMS589824:AMW589830 AWO589824:AWS589830 BGK589824:BGO589830 BQG589824:BQK589830 CAC589824:CAG589830 CJY589824:CKC589830 CTU589824:CTY589830 DDQ589824:DDU589830 DNM589824:DNQ589830 DXI589824:DXM589830 EHE589824:EHI589830 ERA589824:ERE589830 FAW589824:FBA589830 FKS589824:FKW589830 FUO589824:FUS589830 GEK589824:GEO589830 GOG589824:GOK589830 GYC589824:GYG589830 HHY589824:HIC589830 HRU589824:HRY589830 IBQ589824:IBU589830 ILM589824:ILQ589830 IVI589824:IVM589830 JFE589824:JFI589830 JPA589824:JPE589830 JYW589824:JZA589830 KIS589824:KIW589830 KSO589824:KSS589830 LCK589824:LCO589830 LMG589824:LMK589830 LWC589824:LWG589830 MFY589824:MGC589830 MPU589824:MPY589830 MZQ589824:MZU589830 NJM589824:NJQ589830 NTI589824:NTM589830 ODE589824:ODI589830 ONA589824:ONE589830 OWW589824:OXA589830 PGS589824:PGW589830 PQO589824:PQS589830 QAK589824:QAO589830 QKG589824:QKK589830 QUC589824:QUG589830 RDY589824:REC589830 RNU589824:RNY589830 RXQ589824:RXU589830 SHM589824:SHQ589830 SRI589824:SRM589830 TBE589824:TBI589830 TLA589824:TLE589830 TUW589824:TVA589830 UES589824:UEW589830 UOO589824:UOS589830 UYK589824:UYO589830 VIG589824:VIK589830 VSC589824:VSG589830 WBY589824:WCC589830 WLU589824:WLY589830 WVQ589824:WVU589830 I655360:M655366 JE655360:JI655366 TA655360:TE655366 ACW655360:ADA655366 AMS655360:AMW655366 AWO655360:AWS655366 BGK655360:BGO655366 BQG655360:BQK655366 CAC655360:CAG655366 CJY655360:CKC655366 CTU655360:CTY655366 DDQ655360:DDU655366 DNM655360:DNQ655366 DXI655360:DXM655366 EHE655360:EHI655366 ERA655360:ERE655366 FAW655360:FBA655366 FKS655360:FKW655366 FUO655360:FUS655366 GEK655360:GEO655366 GOG655360:GOK655366 GYC655360:GYG655366 HHY655360:HIC655366 HRU655360:HRY655366 IBQ655360:IBU655366 ILM655360:ILQ655366 IVI655360:IVM655366 JFE655360:JFI655366 JPA655360:JPE655366 JYW655360:JZA655366 KIS655360:KIW655366 KSO655360:KSS655366 LCK655360:LCO655366 LMG655360:LMK655366 LWC655360:LWG655366 MFY655360:MGC655366 MPU655360:MPY655366 MZQ655360:MZU655366 NJM655360:NJQ655366 NTI655360:NTM655366 ODE655360:ODI655366 ONA655360:ONE655366 OWW655360:OXA655366 PGS655360:PGW655366 PQO655360:PQS655366 QAK655360:QAO655366 QKG655360:QKK655366 QUC655360:QUG655366 RDY655360:REC655366 RNU655360:RNY655366 RXQ655360:RXU655366 SHM655360:SHQ655366 SRI655360:SRM655366 TBE655360:TBI655366 TLA655360:TLE655366 TUW655360:TVA655366 UES655360:UEW655366 UOO655360:UOS655366 UYK655360:UYO655366 VIG655360:VIK655366 VSC655360:VSG655366 WBY655360:WCC655366 WLU655360:WLY655366 WVQ655360:WVU655366 I720896:M720902 JE720896:JI720902 TA720896:TE720902 ACW720896:ADA720902 AMS720896:AMW720902 AWO720896:AWS720902 BGK720896:BGO720902 BQG720896:BQK720902 CAC720896:CAG720902 CJY720896:CKC720902 CTU720896:CTY720902 DDQ720896:DDU720902 DNM720896:DNQ720902 DXI720896:DXM720902 EHE720896:EHI720902 ERA720896:ERE720902 FAW720896:FBA720902 FKS720896:FKW720902 FUO720896:FUS720902 GEK720896:GEO720902 GOG720896:GOK720902 GYC720896:GYG720902 HHY720896:HIC720902 HRU720896:HRY720902 IBQ720896:IBU720902 ILM720896:ILQ720902 IVI720896:IVM720902 JFE720896:JFI720902 JPA720896:JPE720902 JYW720896:JZA720902 KIS720896:KIW720902 KSO720896:KSS720902 LCK720896:LCO720902 LMG720896:LMK720902 LWC720896:LWG720902 MFY720896:MGC720902 MPU720896:MPY720902 MZQ720896:MZU720902 NJM720896:NJQ720902 NTI720896:NTM720902 ODE720896:ODI720902 ONA720896:ONE720902 OWW720896:OXA720902 PGS720896:PGW720902 PQO720896:PQS720902 QAK720896:QAO720902 QKG720896:QKK720902 QUC720896:QUG720902 RDY720896:REC720902 RNU720896:RNY720902 RXQ720896:RXU720902 SHM720896:SHQ720902 SRI720896:SRM720902 TBE720896:TBI720902 TLA720896:TLE720902 TUW720896:TVA720902 UES720896:UEW720902 UOO720896:UOS720902 UYK720896:UYO720902 VIG720896:VIK720902 VSC720896:VSG720902 WBY720896:WCC720902 WLU720896:WLY720902 WVQ720896:WVU720902 I786432:M786438 JE786432:JI786438 TA786432:TE786438 ACW786432:ADA786438 AMS786432:AMW786438 AWO786432:AWS786438 BGK786432:BGO786438 BQG786432:BQK786438 CAC786432:CAG786438 CJY786432:CKC786438 CTU786432:CTY786438 DDQ786432:DDU786438 DNM786432:DNQ786438 DXI786432:DXM786438 EHE786432:EHI786438 ERA786432:ERE786438 FAW786432:FBA786438 FKS786432:FKW786438 FUO786432:FUS786438 GEK786432:GEO786438 GOG786432:GOK786438 GYC786432:GYG786438 HHY786432:HIC786438 HRU786432:HRY786438 IBQ786432:IBU786438 ILM786432:ILQ786438 IVI786432:IVM786438 JFE786432:JFI786438 JPA786432:JPE786438 JYW786432:JZA786438 KIS786432:KIW786438 KSO786432:KSS786438 LCK786432:LCO786438 LMG786432:LMK786438 LWC786432:LWG786438 MFY786432:MGC786438 MPU786432:MPY786438 MZQ786432:MZU786438 NJM786432:NJQ786438 NTI786432:NTM786438 ODE786432:ODI786438 ONA786432:ONE786438 OWW786432:OXA786438 PGS786432:PGW786438 PQO786432:PQS786438 QAK786432:QAO786438 QKG786432:QKK786438 QUC786432:QUG786438 RDY786432:REC786438 RNU786432:RNY786438 RXQ786432:RXU786438 SHM786432:SHQ786438 SRI786432:SRM786438 TBE786432:TBI786438 TLA786432:TLE786438 TUW786432:TVA786438 UES786432:UEW786438 UOO786432:UOS786438 UYK786432:UYO786438 VIG786432:VIK786438 VSC786432:VSG786438 WBY786432:WCC786438 WLU786432:WLY786438 WVQ786432:WVU786438 I851968:M851974 JE851968:JI851974 TA851968:TE851974 ACW851968:ADA851974 AMS851968:AMW851974 AWO851968:AWS851974 BGK851968:BGO851974 BQG851968:BQK851974 CAC851968:CAG851974 CJY851968:CKC851974 CTU851968:CTY851974 DDQ851968:DDU851974 DNM851968:DNQ851974 DXI851968:DXM851974 EHE851968:EHI851974 ERA851968:ERE851974 FAW851968:FBA851974 FKS851968:FKW851974 FUO851968:FUS851974 GEK851968:GEO851974 GOG851968:GOK851974 GYC851968:GYG851974 HHY851968:HIC851974 HRU851968:HRY851974 IBQ851968:IBU851974 ILM851968:ILQ851974 IVI851968:IVM851974 JFE851968:JFI851974 JPA851968:JPE851974 JYW851968:JZA851974 KIS851968:KIW851974 KSO851968:KSS851974 LCK851968:LCO851974 LMG851968:LMK851974 LWC851968:LWG851974 MFY851968:MGC851974 MPU851968:MPY851974 MZQ851968:MZU851974 NJM851968:NJQ851974 NTI851968:NTM851974 ODE851968:ODI851974 ONA851968:ONE851974 OWW851968:OXA851974 PGS851968:PGW851974 PQO851968:PQS851974 QAK851968:QAO851974 QKG851968:QKK851974 QUC851968:QUG851974 RDY851968:REC851974 RNU851968:RNY851974 RXQ851968:RXU851974 SHM851968:SHQ851974 SRI851968:SRM851974 TBE851968:TBI851974 TLA851968:TLE851974 TUW851968:TVA851974 UES851968:UEW851974 UOO851968:UOS851974 UYK851968:UYO851974 VIG851968:VIK851974 VSC851968:VSG851974 WBY851968:WCC851974 WLU851968:WLY851974 WVQ851968:WVU851974 I917504:M917510 JE917504:JI917510 TA917504:TE917510 ACW917504:ADA917510 AMS917504:AMW917510 AWO917504:AWS917510 BGK917504:BGO917510 BQG917504:BQK917510 CAC917504:CAG917510 CJY917504:CKC917510 CTU917504:CTY917510 DDQ917504:DDU917510 DNM917504:DNQ917510 DXI917504:DXM917510 EHE917504:EHI917510 ERA917504:ERE917510 FAW917504:FBA917510 FKS917504:FKW917510 FUO917504:FUS917510 GEK917504:GEO917510 GOG917504:GOK917510 GYC917504:GYG917510 HHY917504:HIC917510 HRU917504:HRY917510 IBQ917504:IBU917510 ILM917504:ILQ917510 IVI917504:IVM917510 JFE917504:JFI917510 JPA917504:JPE917510 JYW917504:JZA917510 KIS917504:KIW917510 KSO917504:KSS917510 LCK917504:LCO917510 LMG917504:LMK917510 LWC917504:LWG917510 MFY917504:MGC917510 MPU917504:MPY917510 MZQ917504:MZU917510 NJM917504:NJQ917510 NTI917504:NTM917510 ODE917504:ODI917510 ONA917504:ONE917510 OWW917504:OXA917510 PGS917504:PGW917510 PQO917504:PQS917510 QAK917504:QAO917510 QKG917504:QKK917510 QUC917504:QUG917510 RDY917504:REC917510 RNU917504:RNY917510 RXQ917504:RXU917510 SHM917504:SHQ917510 SRI917504:SRM917510 TBE917504:TBI917510 TLA917504:TLE917510 TUW917504:TVA917510 UES917504:UEW917510 UOO917504:UOS917510 UYK917504:UYO917510 VIG917504:VIK917510 VSC917504:VSG917510 WBY917504:WCC917510 WLU917504:WLY917510 WVQ917504:WVU917510 I983040:M983046 JE983040:JI983046 TA983040:TE983046 ACW983040:ADA983046 AMS983040:AMW983046 AWO983040:AWS983046 BGK983040:BGO983046 BQG983040:BQK983046 CAC983040:CAG983046 CJY983040:CKC983046 CTU983040:CTY983046 DDQ983040:DDU983046 DNM983040:DNQ983046 DXI983040:DXM983046 EHE983040:EHI983046 ERA983040:ERE983046 FAW983040:FBA983046 FKS983040:FKW983046 FUO983040:FUS983046 GEK983040:GEO983046 GOG983040:GOK983046 GYC983040:GYG983046 HHY983040:HIC983046 HRU983040:HRY983046 IBQ983040:IBU983046 ILM983040:ILQ983046 IVI983040:IVM983046 JFE983040:JFI983046 JPA983040:JPE983046 JYW983040:JZA983046 KIS983040:KIW983046 KSO983040:KSS983046 LCK983040:LCO983046 LMG983040:LMK983046 LWC983040:LWG983046 MFY983040:MGC983046 MPU983040:MPY983046 MZQ983040:MZU983046 NJM983040:NJQ983046 NTI983040:NTM983046 ODE983040:ODI983046 ONA983040:ONE983046 OWW983040:OXA983046 PGS983040:PGW983046 PQO983040:PQS983046 QAK983040:QAO983046 QKG983040:QKK983046 QUC983040:QUG983046 RDY983040:REC983046 RNU983040:RNY983046 RXQ983040:RXU983046 SHM983040:SHQ983046 SRI983040:SRM983046 TBE983040:TBI983046 TLA983040:TLE983046 TUW983040:TVA983046 UES983040:UEW983046 UOO983040:UOS983046 UYK983040:UYO983046 VIG983040:VIK983046 VSC983040:VSG983046 WBY983040:WCC983046 WLU983040:WLY983046 WVQ983040:WVU983046 I12:I52 JE12:JE52 TA12:TA52 ACW12:ACW52 AMS12:AMS52 AWO12:AWO52 BGK12:BGK52 BQG12:BQG52 CAC12:CAC52 CJY12:CJY52 CTU12:CTU52 DDQ12:DDQ52 DNM12:DNM52 DXI12:DXI52 EHE12:EHE52 ERA12:ERA52 FAW12:FAW52 FKS12:FKS52 FUO12:FUO52 GEK12:GEK52 GOG12:GOG52 GYC12:GYC52 HHY12:HHY52 HRU12:HRU52 IBQ12:IBQ52 ILM12:ILM52 IVI12:IVI52 JFE12:JFE52 JPA12:JPA52 JYW12:JYW52 KIS12:KIS52 KSO12:KSO52 LCK12:LCK52 LMG12:LMG52 LWC12:LWC52 MFY12:MFY52 MPU12:MPU52 MZQ12:MZQ52 NJM12:NJM52 NTI12:NTI52 ODE12:ODE52 ONA12:ONA52 OWW12:OWW52 PGS12:PGS52 PQO12:PQO52 QAK12:QAK52 QKG12:QKG52 QUC12:QUC52 RDY12:RDY52 RNU12:RNU52 RXQ12:RXQ52 SHM12:SHM52 SRI12:SRI52 TBE12:TBE52 TLA12:TLA52 TUW12:TUW52 UES12:UES52 UOO12:UOO52 UYK12:UYK52 VIG12:VIG52 VSC12:VSC52 WBY12:WBY52 WLU12:WLU52 WVQ12:WVQ52 I65548:I65588 JE65548:JE65588 TA65548:TA65588 ACW65548:ACW65588 AMS65548:AMS65588 AWO65548:AWO65588 BGK65548:BGK65588 BQG65548:BQG65588 CAC65548:CAC65588 CJY65548:CJY65588 CTU65548:CTU65588 DDQ65548:DDQ65588 DNM65548:DNM65588 DXI65548:DXI65588 EHE65548:EHE65588 ERA65548:ERA65588 FAW65548:FAW65588 FKS65548:FKS65588 FUO65548:FUO65588 GEK65548:GEK65588 GOG65548:GOG65588 GYC65548:GYC65588 HHY65548:HHY65588 HRU65548:HRU65588 IBQ65548:IBQ65588 ILM65548:ILM65588 IVI65548:IVI65588 JFE65548:JFE65588 JPA65548:JPA65588 JYW65548:JYW65588 KIS65548:KIS65588 KSO65548:KSO65588 LCK65548:LCK65588 LMG65548:LMG65588 LWC65548:LWC65588 MFY65548:MFY65588 MPU65548:MPU65588 MZQ65548:MZQ65588 NJM65548:NJM65588 NTI65548:NTI65588 ODE65548:ODE65588 ONA65548:ONA65588 OWW65548:OWW65588 PGS65548:PGS65588 PQO65548:PQO65588 QAK65548:QAK65588 QKG65548:QKG65588 QUC65548:QUC65588 RDY65548:RDY65588 RNU65548:RNU65588 RXQ65548:RXQ65588 SHM65548:SHM65588 SRI65548:SRI65588 TBE65548:TBE65588 TLA65548:TLA65588 TUW65548:TUW65588 UES65548:UES65588 UOO65548:UOO65588 UYK65548:UYK65588 VIG65548:VIG65588 VSC65548:VSC65588 WBY65548:WBY65588 WLU65548:WLU65588 WVQ65548:WVQ65588 I131084:I131124 JE131084:JE131124 TA131084:TA131124 ACW131084:ACW131124 AMS131084:AMS131124 AWO131084:AWO131124 BGK131084:BGK131124 BQG131084:BQG131124 CAC131084:CAC131124 CJY131084:CJY131124 CTU131084:CTU131124 DDQ131084:DDQ131124 DNM131084:DNM131124 DXI131084:DXI131124 EHE131084:EHE131124 ERA131084:ERA131124 FAW131084:FAW131124 FKS131084:FKS131124 FUO131084:FUO131124 GEK131084:GEK131124 GOG131084:GOG131124 GYC131084:GYC131124 HHY131084:HHY131124 HRU131084:HRU131124 IBQ131084:IBQ131124 ILM131084:ILM131124 IVI131084:IVI131124 JFE131084:JFE131124 JPA131084:JPA131124 JYW131084:JYW131124 KIS131084:KIS131124 KSO131084:KSO131124 LCK131084:LCK131124 LMG131084:LMG131124 LWC131084:LWC131124 MFY131084:MFY131124 MPU131084:MPU131124 MZQ131084:MZQ131124 NJM131084:NJM131124 NTI131084:NTI131124 ODE131084:ODE131124 ONA131084:ONA131124 OWW131084:OWW131124 PGS131084:PGS131124 PQO131084:PQO131124 QAK131084:QAK131124 QKG131084:QKG131124 QUC131084:QUC131124 RDY131084:RDY131124 RNU131084:RNU131124 RXQ131084:RXQ131124 SHM131084:SHM131124 SRI131084:SRI131124 TBE131084:TBE131124 TLA131084:TLA131124 TUW131084:TUW131124 UES131084:UES131124 UOO131084:UOO131124 UYK131084:UYK131124 VIG131084:VIG131124 VSC131084:VSC131124 WBY131084:WBY131124 WLU131084:WLU131124 WVQ131084:WVQ131124 I196620:I196660 JE196620:JE196660 TA196620:TA196660 ACW196620:ACW196660 AMS196620:AMS196660 AWO196620:AWO196660 BGK196620:BGK196660 BQG196620:BQG196660 CAC196620:CAC196660 CJY196620:CJY196660 CTU196620:CTU196660 DDQ196620:DDQ196660 DNM196620:DNM196660 DXI196620:DXI196660 EHE196620:EHE196660 ERA196620:ERA196660 FAW196620:FAW196660 FKS196620:FKS196660 FUO196620:FUO196660 GEK196620:GEK196660 GOG196620:GOG196660 GYC196620:GYC196660 HHY196620:HHY196660 HRU196620:HRU196660 IBQ196620:IBQ196660 ILM196620:ILM196660 IVI196620:IVI196660 JFE196620:JFE196660 JPA196620:JPA196660 JYW196620:JYW196660 KIS196620:KIS196660 KSO196620:KSO196660 LCK196620:LCK196660 LMG196620:LMG196660 LWC196620:LWC196660 MFY196620:MFY196660 MPU196620:MPU196660 MZQ196620:MZQ196660 NJM196620:NJM196660 NTI196620:NTI196660 ODE196620:ODE196660 ONA196620:ONA196660 OWW196620:OWW196660 PGS196620:PGS196660 PQO196620:PQO196660 QAK196620:QAK196660 QKG196620:QKG196660 QUC196620:QUC196660 RDY196620:RDY196660 RNU196620:RNU196660 RXQ196620:RXQ196660 SHM196620:SHM196660 SRI196620:SRI196660 TBE196620:TBE196660 TLA196620:TLA196660 TUW196620:TUW196660 UES196620:UES196660 UOO196620:UOO196660 UYK196620:UYK196660 VIG196620:VIG196660 VSC196620:VSC196660 WBY196620:WBY196660 WLU196620:WLU196660 WVQ196620:WVQ196660 I262156:I262196 JE262156:JE262196 TA262156:TA262196 ACW262156:ACW262196 AMS262156:AMS262196 AWO262156:AWO262196 BGK262156:BGK262196 BQG262156:BQG262196 CAC262156:CAC262196 CJY262156:CJY262196 CTU262156:CTU262196 DDQ262156:DDQ262196 DNM262156:DNM262196 DXI262156:DXI262196 EHE262156:EHE262196 ERA262156:ERA262196 FAW262156:FAW262196 FKS262156:FKS262196 FUO262156:FUO262196 GEK262156:GEK262196 GOG262156:GOG262196 GYC262156:GYC262196 HHY262156:HHY262196 HRU262156:HRU262196 IBQ262156:IBQ262196 ILM262156:ILM262196 IVI262156:IVI262196 JFE262156:JFE262196 JPA262156:JPA262196 JYW262156:JYW262196 KIS262156:KIS262196 KSO262156:KSO262196 LCK262156:LCK262196 LMG262156:LMG262196 LWC262156:LWC262196 MFY262156:MFY262196 MPU262156:MPU262196 MZQ262156:MZQ262196 NJM262156:NJM262196 NTI262156:NTI262196 ODE262156:ODE262196 ONA262156:ONA262196 OWW262156:OWW262196 PGS262156:PGS262196 PQO262156:PQO262196 QAK262156:QAK262196 QKG262156:QKG262196 QUC262156:QUC262196 RDY262156:RDY262196 RNU262156:RNU262196 RXQ262156:RXQ262196 SHM262156:SHM262196 SRI262156:SRI262196 TBE262156:TBE262196 TLA262156:TLA262196 TUW262156:TUW262196 UES262156:UES262196 UOO262156:UOO262196 UYK262156:UYK262196 VIG262156:VIG262196 VSC262156:VSC262196 WBY262156:WBY262196 WLU262156:WLU262196 WVQ262156:WVQ262196 I327692:I327732 JE327692:JE327732 TA327692:TA327732 ACW327692:ACW327732 AMS327692:AMS327732 AWO327692:AWO327732 BGK327692:BGK327732 BQG327692:BQG327732 CAC327692:CAC327732 CJY327692:CJY327732 CTU327692:CTU327732 DDQ327692:DDQ327732 DNM327692:DNM327732 DXI327692:DXI327732 EHE327692:EHE327732 ERA327692:ERA327732 FAW327692:FAW327732 FKS327692:FKS327732 FUO327692:FUO327732 GEK327692:GEK327732 GOG327692:GOG327732 GYC327692:GYC327732 HHY327692:HHY327732 HRU327692:HRU327732 IBQ327692:IBQ327732 ILM327692:ILM327732 IVI327692:IVI327732 JFE327692:JFE327732 JPA327692:JPA327732 JYW327692:JYW327732 KIS327692:KIS327732 KSO327692:KSO327732 LCK327692:LCK327732 LMG327692:LMG327732 LWC327692:LWC327732 MFY327692:MFY327732 MPU327692:MPU327732 MZQ327692:MZQ327732 NJM327692:NJM327732 NTI327692:NTI327732 ODE327692:ODE327732 ONA327692:ONA327732 OWW327692:OWW327732 PGS327692:PGS327732 PQO327692:PQO327732 QAK327692:QAK327732 QKG327692:QKG327732 QUC327692:QUC327732 RDY327692:RDY327732 RNU327692:RNU327732 RXQ327692:RXQ327732 SHM327692:SHM327732 SRI327692:SRI327732 TBE327692:TBE327732 TLA327692:TLA327732 TUW327692:TUW327732 UES327692:UES327732 UOO327692:UOO327732 UYK327692:UYK327732 VIG327692:VIG327732 VSC327692:VSC327732 WBY327692:WBY327732 WLU327692:WLU327732 WVQ327692:WVQ327732 I393228:I393268 JE393228:JE393268 TA393228:TA393268 ACW393228:ACW393268 AMS393228:AMS393268 AWO393228:AWO393268 BGK393228:BGK393268 BQG393228:BQG393268 CAC393228:CAC393268 CJY393228:CJY393268 CTU393228:CTU393268 DDQ393228:DDQ393268 DNM393228:DNM393268 DXI393228:DXI393268 EHE393228:EHE393268 ERA393228:ERA393268 FAW393228:FAW393268 FKS393228:FKS393268 FUO393228:FUO393268 GEK393228:GEK393268 GOG393228:GOG393268 GYC393228:GYC393268 HHY393228:HHY393268 HRU393228:HRU393268 IBQ393228:IBQ393268 ILM393228:ILM393268 IVI393228:IVI393268 JFE393228:JFE393268 JPA393228:JPA393268 JYW393228:JYW393268 KIS393228:KIS393268 KSO393228:KSO393268 LCK393228:LCK393268 LMG393228:LMG393268 LWC393228:LWC393268 MFY393228:MFY393268 MPU393228:MPU393268 MZQ393228:MZQ393268 NJM393228:NJM393268 NTI393228:NTI393268 ODE393228:ODE393268 ONA393228:ONA393268 OWW393228:OWW393268 PGS393228:PGS393268 PQO393228:PQO393268 QAK393228:QAK393268 QKG393228:QKG393268 QUC393228:QUC393268 RDY393228:RDY393268 RNU393228:RNU393268 RXQ393228:RXQ393268 SHM393228:SHM393268 SRI393228:SRI393268 TBE393228:TBE393268 TLA393228:TLA393268 TUW393228:TUW393268 UES393228:UES393268 UOO393228:UOO393268 UYK393228:UYK393268 VIG393228:VIG393268 VSC393228:VSC393268 WBY393228:WBY393268 WLU393228:WLU393268 WVQ393228:WVQ393268 I458764:I458804 JE458764:JE458804 TA458764:TA458804 ACW458764:ACW458804 AMS458764:AMS458804 AWO458764:AWO458804 BGK458764:BGK458804 BQG458764:BQG458804 CAC458764:CAC458804 CJY458764:CJY458804 CTU458764:CTU458804 DDQ458764:DDQ458804 DNM458764:DNM458804 DXI458764:DXI458804 EHE458764:EHE458804 ERA458764:ERA458804 FAW458764:FAW458804 FKS458764:FKS458804 FUO458764:FUO458804 GEK458764:GEK458804 GOG458764:GOG458804 GYC458764:GYC458804 HHY458764:HHY458804 HRU458764:HRU458804 IBQ458764:IBQ458804 ILM458764:ILM458804 IVI458764:IVI458804 JFE458764:JFE458804 JPA458764:JPA458804 JYW458764:JYW458804 KIS458764:KIS458804 KSO458764:KSO458804 LCK458764:LCK458804 LMG458764:LMG458804 LWC458764:LWC458804 MFY458764:MFY458804 MPU458764:MPU458804 MZQ458764:MZQ458804 NJM458764:NJM458804 NTI458764:NTI458804 ODE458764:ODE458804 ONA458764:ONA458804 OWW458764:OWW458804 PGS458764:PGS458804 PQO458764:PQO458804 QAK458764:QAK458804 QKG458764:QKG458804 QUC458764:QUC458804 RDY458764:RDY458804 RNU458764:RNU458804 RXQ458764:RXQ458804 SHM458764:SHM458804 SRI458764:SRI458804 TBE458764:TBE458804 TLA458764:TLA458804 TUW458764:TUW458804 UES458764:UES458804 UOO458764:UOO458804 UYK458764:UYK458804 VIG458764:VIG458804 VSC458764:VSC458804 WBY458764:WBY458804 WLU458764:WLU458804 WVQ458764:WVQ458804 I524300:I524340 JE524300:JE524340 TA524300:TA524340 ACW524300:ACW524340 AMS524300:AMS524340 AWO524300:AWO524340 BGK524300:BGK524340 BQG524300:BQG524340 CAC524300:CAC524340 CJY524300:CJY524340 CTU524300:CTU524340 DDQ524300:DDQ524340 DNM524300:DNM524340 DXI524300:DXI524340 EHE524300:EHE524340 ERA524300:ERA524340 FAW524300:FAW524340 FKS524300:FKS524340 FUO524300:FUO524340 GEK524300:GEK524340 GOG524300:GOG524340 GYC524300:GYC524340 HHY524300:HHY524340 HRU524300:HRU524340 IBQ524300:IBQ524340 ILM524300:ILM524340 IVI524300:IVI524340 JFE524300:JFE524340 JPA524300:JPA524340 JYW524300:JYW524340 KIS524300:KIS524340 KSO524300:KSO524340 LCK524300:LCK524340 LMG524300:LMG524340 LWC524300:LWC524340 MFY524300:MFY524340 MPU524300:MPU524340 MZQ524300:MZQ524340 NJM524300:NJM524340 NTI524300:NTI524340 ODE524300:ODE524340 ONA524300:ONA524340 OWW524300:OWW524340 PGS524300:PGS524340 PQO524300:PQO524340 QAK524300:QAK524340 QKG524300:QKG524340 QUC524300:QUC524340 RDY524300:RDY524340 RNU524300:RNU524340 RXQ524300:RXQ524340 SHM524300:SHM524340 SRI524300:SRI524340 TBE524300:TBE524340 TLA524300:TLA524340 TUW524300:TUW524340 UES524300:UES524340 UOO524300:UOO524340 UYK524300:UYK524340 VIG524300:VIG524340 VSC524300:VSC524340 WBY524300:WBY524340 WLU524300:WLU524340 WVQ524300:WVQ524340 I589836:I589876 JE589836:JE589876 TA589836:TA589876 ACW589836:ACW589876 AMS589836:AMS589876 AWO589836:AWO589876 BGK589836:BGK589876 BQG589836:BQG589876 CAC589836:CAC589876 CJY589836:CJY589876 CTU589836:CTU589876 DDQ589836:DDQ589876 DNM589836:DNM589876 DXI589836:DXI589876 EHE589836:EHE589876 ERA589836:ERA589876 FAW589836:FAW589876 FKS589836:FKS589876 FUO589836:FUO589876 GEK589836:GEK589876 GOG589836:GOG589876 GYC589836:GYC589876 HHY589836:HHY589876 HRU589836:HRU589876 IBQ589836:IBQ589876 ILM589836:ILM589876 IVI589836:IVI589876 JFE589836:JFE589876 JPA589836:JPA589876 JYW589836:JYW589876 KIS589836:KIS589876 KSO589836:KSO589876 LCK589836:LCK589876 LMG589836:LMG589876 LWC589836:LWC589876 MFY589836:MFY589876 MPU589836:MPU589876 MZQ589836:MZQ589876 NJM589836:NJM589876 NTI589836:NTI589876 ODE589836:ODE589876 ONA589836:ONA589876 OWW589836:OWW589876 PGS589836:PGS589876 PQO589836:PQO589876 QAK589836:QAK589876 QKG589836:QKG589876 QUC589836:QUC589876 RDY589836:RDY589876 RNU589836:RNU589876 RXQ589836:RXQ589876 SHM589836:SHM589876 SRI589836:SRI589876 TBE589836:TBE589876 TLA589836:TLA589876 TUW589836:TUW589876 UES589836:UES589876 UOO589836:UOO589876 UYK589836:UYK589876 VIG589836:VIG589876 VSC589836:VSC589876 WBY589836:WBY589876 WLU589836:WLU589876 WVQ589836:WVQ589876 I655372:I655412 JE655372:JE655412 TA655372:TA655412 ACW655372:ACW655412 AMS655372:AMS655412 AWO655372:AWO655412 BGK655372:BGK655412 BQG655372:BQG655412 CAC655372:CAC655412 CJY655372:CJY655412 CTU655372:CTU655412 DDQ655372:DDQ655412 DNM655372:DNM655412 DXI655372:DXI655412 EHE655372:EHE655412 ERA655372:ERA655412 FAW655372:FAW655412 FKS655372:FKS655412 FUO655372:FUO655412 GEK655372:GEK655412 GOG655372:GOG655412 GYC655372:GYC655412 HHY655372:HHY655412 HRU655372:HRU655412 IBQ655372:IBQ655412 ILM655372:ILM655412 IVI655372:IVI655412 JFE655372:JFE655412 JPA655372:JPA655412 JYW655372:JYW655412 KIS655372:KIS655412 KSO655372:KSO655412 LCK655372:LCK655412 LMG655372:LMG655412 LWC655372:LWC655412 MFY655372:MFY655412 MPU655372:MPU655412 MZQ655372:MZQ655412 NJM655372:NJM655412 NTI655372:NTI655412 ODE655372:ODE655412 ONA655372:ONA655412 OWW655372:OWW655412 PGS655372:PGS655412 PQO655372:PQO655412 QAK655372:QAK655412 QKG655372:QKG655412 QUC655372:QUC655412 RDY655372:RDY655412 RNU655372:RNU655412 RXQ655372:RXQ655412 SHM655372:SHM655412 SRI655372:SRI655412 TBE655372:TBE655412 TLA655372:TLA655412 TUW655372:TUW655412 UES655372:UES655412 UOO655372:UOO655412 UYK655372:UYK655412 VIG655372:VIG655412 VSC655372:VSC655412 WBY655372:WBY655412 WLU655372:WLU655412 WVQ655372:WVQ655412 I720908:I720948 JE720908:JE720948 TA720908:TA720948 ACW720908:ACW720948 AMS720908:AMS720948 AWO720908:AWO720948 BGK720908:BGK720948 BQG720908:BQG720948 CAC720908:CAC720948 CJY720908:CJY720948 CTU720908:CTU720948 DDQ720908:DDQ720948 DNM720908:DNM720948 DXI720908:DXI720948 EHE720908:EHE720948 ERA720908:ERA720948 FAW720908:FAW720948 FKS720908:FKS720948 FUO720908:FUO720948 GEK720908:GEK720948 GOG720908:GOG720948 GYC720908:GYC720948 HHY720908:HHY720948 HRU720908:HRU720948 IBQ720908:IBQ720948 ILM720908:ILM720948 IVI720908:IVI720948 JFE720908:JFE720948 JPA720908:JPA720948 JYW720908:JYW720948 KIS720908:KIS720948 KSO720908:KSO720948 LCK720908:LCK720948 LMG720908:LMG720948 LWC720908:LWC720948 MFY720908:MFY720948 MPU720908:MPU720948 MZQ720908:MZQ720948 NJM720908:NJM720948 NTI720908:NTI720948 ODE720908:ODE720948 ONA720908:ONA720948 OWW720908:OWW720948 PGS720908:PGS720948 PQO720908:PQO720948 QAK720908:QAK720948 QKG720908:QKG720948 QUC720908:QUC720948 RDY720908:RDY720948 RNU720908:RNU720948 RXQ720908:RXQ720948 SHM720908:SHM720948 SRI720908:SRI720948 TBE720908:TBE720948 TLA720908:TLA720948 TUW720908:TUW720948 UES720908:UES720948 UOO720908:UOO720948 UYK720908:UYK720948 VIG720908:VIG720948 VSC720908:VSC720948 WBY720908:WBY720948 WLU720908:WLU720948 WVQ720908:WVQ720948 I786444:I786484 JE786444:JE786484 TA786444:TA786484 ACW786444:ACW786484 AMS786444:AMS786484 AWO786444:AWO786484 BGK786444:BGK786484 BQG786444:BQG786484 CAC786444:CAC786484 CJY786444:CJY786484 CTU786444:CTU786484 DDQ786444:DDQ786484 DNM786444:DNM786484 DXI786444:DXI786484 EHE786444:EHE786484 ERA786444:ERA786484 FAW786444:FAW786484 FKS786444:FKS786484 FUO786444:FUO786484 GEK786444:GEK786484 GOG786444:GOG786484 GYC786444:GYC786484 HHY786444:HHY786484 HRU786444:HRU786484 IBQ786444:IBQ786484 ILM786444:ILM786484 IVI786444:IVI786484 JFE786444:JFE786484 JPA786444:JPA786484 JYW786444:JYW786484 KIS786444:KIS786484 KSO786444:KSO786484 LCK786444:LCK786484 LMG786444:LMG786484 LWC786444:LWC786484 MFY786444:MFY786484 MPU786444:MPU786484 MZQ786444:MZQ786484 NJM786444:NJM786484 NTI786444:NTI786484 ODE786444:ODE786484 ONA786444:ONA786484 OWW786444:OWW786484 PGS786444:PGS786484 PQO786444:PQO786484 QAK786444:QAK786484 QKG786444:QKG786484 QUC786444:QUC786484 RDY786444:RDY786484 RNU786444:RNU786484 RXQ786444:RXQ786484 SHM786444:SHM786484 SRI786444:SRI786484 TBE786444:TBE786484 TLA786444:TLA786484 TUW786444:TUW786484 UES786444:UES786484 UOO786444:UOO786484 UYK786444:UYK786484 VIG786444:VIG786484 VSC786444:VSC786484 WBY786444:WBY786484 WLU786444:WLU786484 WVQ786444:WVQ786484 I851980:I852020 JE851980:JE852020 TA851980:TA852020 ACW851980:ACW852020 AMS851980:AMS852020 AWO851980:AWO852020 BGK851980:BGK852020 BQG851980:BQG852020 CAC851980:CAC852020 CJY851980:CJY852020 CTU851980:CTU852020 DDQ851980:DDQ852020 DNM851980:DNM852020 DXI851980:DXI852020 EHE851980:EHE852020 ERA851980:ERA852020 FAW851980:FAW852020 FKS851980:FKS852020 FUO851980:FUO852020 GEK851980:GEK852020 GOG851980:GOG852020 GYC851980:GYC852020 HHY851980:HHY852020 HRU851980:HRU852020 IBQ851980:IBQ852020 ILM851980:ILM852020 IVI851980:IVI852020 JFE851980:JFE852020 JPA851980:JPA852020 JYW851980:JYW852020 KIS851980:KIS852020 KSO851980:KSO852020 LCK851980:LCK852020 LMG851980:LMG852020 LWC851980:LWC852020 MFY851980:MFY852020 MPU851980:MPU852020 MZQ851980:MZQ852020 NJM851980:NJM852020 NTI851980:NTI852020 ODE851980:ODE852020 ONA851980:ONA852020 OWW851980:OWW852020 PGS851980:PGS852020 PQO851980:PQO852020 QAK851980:QAK852020 QKG851980:QKG852020 QUC851980:QUC852020 RDY851980:RDY852020 RNU851980:RNU852020 RXQ851980:RXQ852020 SHM851980:SHM852020 SRI851980:SRI852020 TBE851980:TBE852020 TLA851980:TLA852020 TUW851980:TUW852020 UES851980:UES852020 UOO851980:UOO852020 UYK851980:UYK852020 VIG851980:VIG852020 VSC851980:VSC852020 WBY851980:WBY852020 WLU851980:WLU852020 WVQ851980:WVQ852020 I917516:I917556 JE917516:JE917556 TA917516:TA917556 ACW917516:ACW917556 AMS917516:AMS917556 AWO917516:AWO917556 BGK917516:BGK917556 BQG917516:BQG917556 CAC917516:CAC917556 CJY917516:CJY917556 CTU917516:CTU917556 DDQ917516:DDQ917556 DNM917516:DNM917556 DXI917516:DXI917556 EHE917516:EHE917556 ERA917516:ERA917556 FAW917516:FAW917556 FKS917516:FKS917556 FUO917516:FUO917556 GEK917516:GEK917556 GOG917516:GOG917556 GYC917516:GYC917556 HHY917516:HHY917556 HRU917516:HRU917556 IBQ917516:IBQ917556 ILM917516:ILM917556 IVI917516:IVI917556 JFE917516:JFE917556 JPA917516:JPA917556 JYW917516:JYW917556 KIS917516:KIS917556 KSO917516:KSO917556 LCK917516:LCK917556 LMG917516:LMG917556 LWC917516:LWC917556 MFY917516:MFY917556 MPU917516:MPU917556 MZQ917516:MZQ917556 NJM917516:NJM917556 NTI917516:NTI917556 ODE917516:ODE917556 ONA917516:ONA917556 OWW917516:OWW917556 PGS917516:PGS917556 PQO917516:PQO917556 QAK917516:QAK917556 QKG917516:QKG917556 QUC917516:QUC917556 RDY917516:RDY917556 RNU917516:RNU917556 RXQ917516:RXQ917556 SHM917516:SHM917556 SRI917516:SRI917556 TBE917516:TBE917556 TLA917516:TLA917556 TUW917516:TUW917556 UES917516:UES917556 UOO917516:UOO917556 UYK917516:UYK917556 VIG917516:VIG917556 VSC917516:VSC917556 WBY917516:WBY917556 WLU917516:WLU917556 WVQ917516:WVQ917556 I983052:I983092 JE983052:JE983092 TA983052:TA983092 ACW983052:ACW983092 AMS983052:AMS983092 AWO983052:AWO983092 BGK983052:BGK983092 BQG983052:BQG983092 CAC983052:CAC983092 CJY983052:CJY983092 CTU983052:CTU983092 DDQ983052:DDQ983092 DNM983052:DNM983092 DXI983052:DXI983092 EHE983052:EHE983092 ERA983052:ERA983092 FAW983052:FAW983092 FKS983052:FKS983092 FUO983052:FUO983092 GEK983052:GEK983092 GOG983052:GOG983092 GYC983052:GYC983092 HHY983052:HHY983092 HRU983052:HRU983092 IBQ983052:IBQ983092 ILM983052:ILM983092 IVI983052:IVI983092 JFE983052:JFE983092 JPA983052:JPA983092 JYW983052:JYW983092 KIS983052:KIS983092 KSO983052:KSO983092 LCK983052:LCK983092 LMG983052:LMG983092 LWC983052:LWC983092 MFY983052:MFY983092 MPU983052:MPU983092 MZQ983052:MZQ983092 NJM983052:NJM983092 NTI983052:NTI983092 ODE983052:ODE983092 ONA983052:ONA983092 OWW983052:OWW983092 PGS983052:PGS983092 PQO983052:PQO983092 QAK983052:QAK983092 QKG983052:QKG983092 QUC983052:QUC983092 RDY983052:RDY983092 RNU983052:RNU983092 RXQ983052:RXQ983092 SHM983052:SHM983092 SRI983052:SRI983092 TBE983052:TBE983092 TLA983052:TLA983092 TUW983052:TUW983092 UES983052:UES983092 UOO983052:UOO983092 UYK983052:UYK983092 VIG983052:VIG983092 VSC983052:VSC983092 WBY983052:WBY983092 WLU983052:WLU983092 WVQ983052:WVQ983092 E11:E53 JA11:JA53 SW11:SW53 ACS11:ACS53 AMO11:AMO53 AWK11:AWK53 BGG11:BGG53 BQC11:BQC53 BZY11:BZY53 CJU11:CJU53 CTQ11:CTQ53 DDM11:DDM53 DNI11:DNI53 DXE11:DXE53 EHA11:EHA53 EQW11:EQW53 FAS11:FAS53 FKO11:FKO53 FUK11:FUK53 GEG11:GEG53 GOC11:GOC53 GXY11:GXY53 HHU11:HHU53 HRQ11:HRQ53 IBM11:IBM53 ILI11:ILI53 IVE11:IVE53 JFA11:JFA53 JOW11:JOW53 JYS11:JYS53 KIO11:KIO53 KSK11:KSK53 LCG11:LCG53 LMC11:LMC53 LVY11:LVY53 MFU11:MFU53 MPQ11:MPQ53 MZM11:MZM53 NJI11:NJI53 NTE11:NTE53 ODA11:ODA53 OMW11:OMW53 OWS11:OWS53 PGO11:PGO53 PQK11:PQK53 QAG11:QAG53 QKC11:QKC53 QTY11:QTY53 RDU11:RDU53 RNQ11:RNQ53 RXM11:RXM53 SHI11:SHI53 SRE11:SRE53 TBA11:TBA53 TKW11:TKW53 TUS11:TUS53 UEO11:UEO53 UOK11:UOK53 UYG11:UYG53 VIC11:VIC53 VRY11:VRY53 WBU11:WBU53 WLQ11:WLQ53 WVM11:WVM53 E65547:E65589 JA65547:JA65589 SW65547:SW65589 ACS65547:ACS65589 AMO65547:AMO65589 AWK65547:AWK65589 BGG65547:BGG65589 BQC65547:BQC65589 BZY65547:BZY65589 CJU65547:CJU65589 CTQ65547:CTQ65589 DDM65547:DDM65589 DNI65547:DNI65589 DXE65547:DXE65589 EHA65547:EHA65589 EQW65547:EQW65589 FAS65547:FAS65589 FKO65547:FKO65589 FUK65547:FUK65589 GEG65547:GEG65589 GOC65547:GOC65589 GXY65547:GXY65589 HHU65547:HHU65589 HRQ65547:HRQ65589 IBM65547:IBM65589 ILI65547:ILI65589 IVE65547:IVE65589 JFA65547:JFA65589 JOW65547:JOW65589 JYS65547:JYS65589 KIO65547:KIO65589 KSK65547:KSK65589 LCG65547:LCG65589 LMC65547:LMC65589 LVY65547:LVY65589 MFU65547:MFU65589 MPQ65547:MPQ65589 MZM65547:MZM65589 NJI65547:NJI65589 NTE65547:NTE65589 ODA65547:ODA65589 OMW65547:OMW65589 OWS65547:OWS65589 PGO65547:PGO65589 PQK65547:PQK65589 QAG65547:QAG65589 QKC65547:QKC65589 QTY65547:QTY65589 RDU65547:RDU65589 RNQ65547:RNQ65589 RXM65547:RXM65589 SHI65547:SHI65589 SRE65547:SRE65589 TBA65547:TBA65589 TKW65547:TKW65589 TUS65547:TUS65589 UEO65547:UEO65589 UOK65547:UOK65589 UYG65547:UYG65589 VIC65547:VIC65589 VRY65547:VRY65589 WBU65547:WBU65589 WLQ65547:WLQ65589 WVM65547:WVM65589 E131083:E131125 JA131083:JA131125 SW131083:SW131125 ACS131083:ACS131125 AMO131083:AMO131125 AWK131083:AWK131125 BGG131083:BGG131125 BQC131083:BQC131125 BZY131083:BZY131125 CJU131083:CJU131125 CTQ131083:CTQ131125 DDM131083:DDM131125 DNI131083:DNI131125 DXE131083:DXE131125 EHA131083:EHA131125 EQW131083:EQW131125 FAS131083:FAS131125 FKO131083:FKO131125 FUK131083:FUK131125 GEG131083:GEG131125 GOC131083:GOC131125 GXY131083:GXY131125 HHU131083:HHU131125 HRQ131083:HRQ131125 IBM131083:IBM131125 ILI131083:ILI131125 IVE131083:IVE131125 JFA131083:JFA131125 JOW131083:JOW131125 JYS131083:JYS131125 KIO131083:KIO131125 KSK131083:KSK131125 LCG131083:LCG131125 LMC131083:LMC131125 LVY131083:LVY131125 MFU131083:MFU131125 MPQ131083:MPQ131125 MZM131083:MZM131125 NJI131083:NJI131125 NTE131083:NTE131125 ODA131083:ODA131125 OMW131083:OMW131125 OWS131083:OWS131125 PGO131083:PGO131125 PQK131083:PQK131125 QAG131083:QAG131125 QKC131083:QKC131125 QTY131083:QTY131125 RDU131083:RDU131125 RNQ131083:RNQ131125 RXM131083:RXM131125 SHI131083:SHI131125 SRE131083:SRE131125 TBA131083:TBA131125 TKW131083:TKW131125 TUS131083:TUS131125 UEO131083:UEO131125 UOK131083:UOK131125 UYG131083:UYG131125 VIC131083:VIC131125 VRY131083:VRY131125 WBU131083:WBU131125 WLQ131083:WLQ131125 WVM131083:WVM131125 E196619:E196661 JA196619:JA196661 SW196619:SW196661 ACS196619:ACS196661 AMO196619:AMO196661 AWK196619:AWK196661 BGG196619:BGG196661 BQC196619:BQC196661 BZY196619:BZY196661 CJU196619:CJU196661 CTQ196619:CTQ196661 DDM196619:DDM196661 DNI196619:DNI196661 DXE196619:DXE196661 EHA196619:EHA196661 EQW196619:EQW196661 FAS196619:FAS196661 FKO196619:FKO196661 FUK196619:FUK196661 GEG196619:GEG196661 GOC196619:GOC196661 GXY196619:GXY196661 HHU196619:HHU196661 HRQ196619:HRQ196661 IBM196619:IBM196661 ILI196619:ILI196661 IVE196619:IVE196661 JFA196619:JFA196661 JOW196619:JOW196661 JYS196619:JYS196661 KIO196619:KIO196661 KSK196619:KSK196661 LCG196619:LCG196661 LMC196619:LMC196661 LVY196619:LVY196661 MFU196619:MFU196661 MPQ196619:MPQ196661 MZM196619:MZM196661 NJI196619:NJI196661 NTE196619:NTE196661 ODA196619:ODA196661 OMW196619:OMW196661 OWS196619:OWS196661 PGO196619:PGO196661 PQK196619:PQK196661 QAG196619:QAG196661 QKC196619:QKC196661 QTY196619:QTY196661 RDU196619:RDU196661 RNQ196619:RNQ196661 RXM196619:RXM196661 SHI196619:SHI196661 SRE196619:SRE196661 TBA196619:TBA196661 TKW196619:TKW196661 TUS196619:TUS196661 UEO196619:UEO196661 UOK196619:UOK196661 UYG196619:UYG196661 VIC196619:VIC196661 VRY196619:VRY196661 WBU196619:WBU196661 WLQ196619:WLQ196661 WVM196619:WVM196661 E262155:E262197 JA262155:JA262197 SW262155:SW262197 ACS262155:ACS262197 AMO262155:AMO262197 AWK262155:AWK262197 BGG262155:BGG262197 BQC262155:BQC262197 BZY262155:BZY262197 CJU262155:CJU262197 CTQ262155:CTQ262197 DDM262155:DDM262197 DNI262155:DNI262197 DXE262155:DXE262197 EHA262155:EHA262197 EQW262155:EQW262197 FAS262155:FAS262197 FKO262155:FKO262197 FUK262155:FUK262197 GEG262155:GEG262197 GOC262155:GOC262197 GXY262155:GXY262197 HHU262155:HHU262197 HRQ262155:HRQ262197 IBM262155:IBM262197 ILI262155:ILI262197 IVE262155:IVE262197 JFA262155:JFA262197 JOW262155:JOW262197 JYS262155:JYS262197 KIO262155:KIO262197 KSK262155:KSK262197 LCG262155:LCG262197 LMC262155:LMC262197 LVY262155:LVY262197 MFU262155:MFU262197 MPQ262155:MPQ262197 MZM262155:MZM262197 NJI262155:NJI262197 NTE262155:NTE262197 ODA262155:ODA262197 OMW262155:OMW262197 OWS262155:OWS262197 PGO262155:PGO262197 PQK262155:PQK262197 QAG262155:QAG262197 QKC262155:QKC262197 QTY262155:QTY262197 RDU262155:RDU262197 RNQ262155:RNQ262197 RXM262155:RXM262197 SHI262155:SHI262197 SRE262155:SRE262197 TBA262155:TBA262197 TKW262155:TKW262197 TUS262155:TUS262197 UEO262155:UEO262197 UOK262155:UOK262197 UYG262155:UYG262197 VIC262155:VIC262197 VRY262155:VRY262197 WBU262155:WBU262197 WLQ262155:WLQ262197 WVM262155:WVM262197 E327691:E327733 JA327691:JA327733 SW327691:SW327733 ACS327691:ACS327733 AMO327691:AMO327733 AWK327691:AWK327733 BGG327691:BGG327733 BQC327691:BQC327733 BZY327691:BZY327733 CJU327691:CJU327733 CTQ327691:CTQ327733 DDM327691:DDM327733 DNI327691:DNI327733 DXE327691:DXE327733 EHA327691:EHA327733 EQW327691:EQW327733 FAS327691:FAS327733 FKO327691:FKO327733 FUK327691:FUK327733 GEG327691:GEG327733 GOC327691:GOC327733 GXY327691:GXY327733 HHU327691:HHU327733 HRQ327691:HRQ327733 IBM327691:IBM327733 ILI327691:ILI327733 IVE327691:IVE327733 JFA327691:JFA327733 JOW327691:JOW327733 JYS327691:JYS327733 KIO327691:KIO327733 KSK327691:KSK327733 LCG327691:LCG327733 LMC327691:LMC327733 LVY327691:LVY327733 MFU327691:MFU327733 MPQ327691:MPQ327733 MZM327691:MZM327733 NJI327691:NJI327733 NTE327691:NTE327733 ODA327691:ODA327733 OMW327691:OMW327733 OWS327691:OWS327733 PGO327691:PGO327733 PQK327691:PQK327733 QAG327691:QAG327733 QKC327691:QKC327733 QTY327691:QTY327733 RDU327691:RDU327733 RNQ327691:RNQ327733 RXM327691:RXM327733 SHI327691:SHI327733 SRE327691:SRE327733 TBA327691:TBA327733 TKW327691:TKW327733 TUS327691:TUS327733 UEO327691:UEO327733 UOK327691:UOK327733 UYG327691:UYG327733 VIC327691:VIC327733 VRY327691:VRY327733 WBU327691:WBU327733 WLQ327691:WLQ327733 WVM327691:WVM327733 E393227:E393269 JA393227:JA393269 SW393227:SW393269 ACS393227:ACS393269 AMO393227:AMO393269 AWK393227:AWK393269 BGG393227:BGG393269 BQC393227:BQC393269 BZY393227:BZY393269 CJU393227:CJU393269 CTQ393227:CTQ393269 DDM393227:DDM393269 DNI393227:DNI393269 DXE393227:DXE393269 EHA393227:EHA393269 EQW393227:EQW393269 FAS393227:FAS393269 FKO393227:FKO393269 FUK393227:FUK393269 GEG393227:GEG393269 GOC393227:GOC393269 GXY393227:GXY393269 HHU393227:HHU393269 HRQ393227:HRQ393269 IBM393227:IBM393269 ILI393227:ILI393269 IVE393227:IVE393269 JFA393227:JFA393269 JOW393227:JOW393269 JYS393227:JYS393269 KIO393227:KIO393269 KSK393227:KSK393269 LCG393227:LCG393269 LMC393227:LMC393269 LVY393227:LVY393269 MFU393227:MFU393269 MPQ393227:MPQ393269 MZM393227:MZM393269 NJI393227:NJI393269 NTE393227:NTE393269 ODA393227:ODA393269 OMW393227:OMW393269 OWS393227:OWS393269 PGO393227:PGO393269 PQK393227:PQK393269 QAG393227:QAG393269 QKC393227:QKC393269 QTY393227:QTY393269 RDU393227:RDU393269 RNQ393227:RNQ393269 RXM393227:RXM393269 SHI393227:SHI393269 SRE393227:SRE393269 TBA393227:TBA393269 TKW393227:TKW393269 TUS393227:TUS393269 UEO393227:UEO393269 UOK393227:UOK393269 UYG393227:UYG393269 VIC393227:VIC393269 VRY393227:VRY393269 WBU393227:WBU393269 WLQ393227:WLQ393269 WVM393227:WVM393269 E458763:E458805 JA458763:JA458805 SW458763:SW458805 ACS458763:ACS458805 AMO458763:AMO458805 AWK458763:AWK458805 BGG458763:BGG458805 BQC458763:BQC458805 BZY458763:BZY458805 CJU458763:CJU458805 CTQ458763:CTQ458805 DDM458763:DDM458805 DNI458763:DNI458805 DXE458763:DXE458805 EHA458763:EHA458805 EQW458763:EQW458805 FAS458763:FAS458805 FKO458763:FKO458805 FUK458763:FUK458805 GEG458763:GEG458805 GOC458763:GOC458805 GXY458763:GXY458805 HHU458763:HHU458805 HRQ458763:HRQ458805 IBM458763:IBM458805 ILI458763:ILI458805 IVE458763:IVE458805 JFA458763:JFA458805 JOW458763:JOW458805 JYS458763:JYS458805 KIO458763:KIO458805 KSK458763:KSK458805 LCG458763:LCG458805 LMC458763:LMC458805 LVY458763:LVY458805 MFU458763:MFU458805 MPQ458763:MPQ458805 MZM458763:MZM458805 NJI458763:NJI458805 NTE458763:NTE458805 ODA458763:ODA458805 OMW458763:OMW458805 OWS458763:OWS458805 PGO458763:PGO458805 PQK458763:PQK458805 QAG458763:QAG458805 QKC458763:QKC458805 QTY458763:QTY458805 RDU458763:RDU458805 RNQ458763:RNQ458805 RXM458763:RXM458805 SHI458763:SHI458805 SRE458763:SRE458805 TBA458763:TBA458805 TKW458763:TKW458805 TUS458763:TUS458805 UEO458763:UEO458805 UOK458763:UOK458805 UYG458763:UYG458805 VIC458763:VIC458805 VRY458763:VRY458805 WBU458763:WBU458805 WLQ458763:WLQ458805 WVM458763:WVM458805 E524299:E524341 JA524299:JA524341 SW524299:SW524341 ACS524299:ACS524341 AMO524299:AMO524341 AWK524299:AWK524341 BGG524299:BGG524341 BQC524299:BQC524341 BZY524299:BZY524341 CJU524299:CJU524341 CTQ524299:CTQ524341 DDM524299:DDM524341 DNI524299:DNI524341 DXE524299:DXE524341 EHA524299:EHA524341 EQW524299:EQW524341 FAS524299:FAS524341 FKO524299:FKO524341 FUK524299:FUK524341 GEG524299:GEG524341 GOC524299:GOC524341 GXY524299:GXY524341 HHU524299:HHU524341 HRQ524299:HRQ524341 IBM524299:IBM524341 ILI524299:ILI524341 IVE524299:IVE524341 JFA524299:JFA524341 JOW524299:JOW524341 JYS524299:JYS524341 KIO524299:KIO524341 KSK524299:KSK524341 LCG524299:LCG524341 LMC524299:LMC524341 LVY524299:LVY524341 MFU524299:MFU524341 MPQ524299:MPQ524341 MZM524299:MZM524341 NJI524299:NJI524341 NTE524299:NTE524341 ODA524299:ODA524341 OMW524299:OMW524341 OWS524299:OWS524341 PGO524299:PGO524341 PQK524299:PQK524341 QAG524299:QAG524341 QKC524299:QKC524341 QTY524299:QTY524341 RDU524299:RDU524341 RNQ524299:RNQ524341 RXM524299:RXM524341 SHI524299:SHI524341 SRE524299:SRE524341 TBA524299:TBA524341 TKW524299:TKW524341 TUS524299:TUS524341 UEO524299:UEO524341 UOK524299:UOK524341 UYG524299:UYG524341 VIC524299:VIC524341 VRY524299:VRY524341 WBU524299:WBU524341 WLQ524299:WLQ524341 WVM524299:WVM524341 E589835:E589877 JA589835:JA589877 SW589835:SW589877 ACS589835:ACS589877 AMO589835:AMO589877 AWK589835:AWK589877 BGG589835:BGG589877 BQC589835:BQC589877 BZY589835:BZY589877 CJU589835:CJU589877 CTQ589835:CTQ589877 DDM589835:DDM589877 DNI589835:DNI589877 DXE589835:DXE589877 EHA589835:EHA589877 EQW589835:EQW589877 FAS589835:FAS589877 FKO589835:FKO589877 FUK589835:FUK589877 GEG589835:GEG589877 GOC589835:GOC589877 GXY589835:GXY589877 HHU589835:HHU589877 HRQ589835:HRQ589877 IBM589835:IBM589877 ILI589835:ILI589877 IVE589835:IVE589877 JFA589835:JFA589877 JOW589835:JOW589877 JYS589835:JYS589877 KIO589835:KIO589877 KSK589835:KSK589877 LCG589835:LCG589877 LMC589835:LMC589877 LVY589835:LVY589877 MFU589835:MFU589877 MPQ589835:MPQ589877 MZM589835:MZM589877 NJI589835:NJI589877 NTE589835:NTE589877 ODA589835:ODA589877 OMW589835:OMW589877 OWS589835:OWS589877 PGO589835:PGO589877 PQK589835:PQK589877 QAG589835:QAG589877 QKC589835:QKC589877 QTY589835:QTY589877 RDU589835:RDU589877 RNQ589835:RNQ589877 RXM589835:RXM589877 SHI589835:SHI589877 SRE589835:SRE589877 TBA589835:TBA589877 TKW589835:TKW589877 TUS589835:TUS589877 UEO589835:UEO589877 UOK589835:UOK589877 UYG589835:UYG589877 VIC589835:VIC589877 VRY589835:VRY589877 WBU589835:WBU589877 WLQ589835:WLQ589877 WVM589835:WVM589877 E655371:E655413 JA655371:JA655413 SW655371:SW655413 ACS655371:ACS655413 AMO655371:AMO655413 AWK655371:AWK655413 BGG655371:BGG655413 BQC655371:BQC655413 BZY655371:BZY655413 CJU655371:CJU655413 CTQ655371:CTQ655413 DDM655371:DDM655413 DNI655371:DNI655413 DXE655371:DXE655413 EHA655371:EHA655413 EQW655371:EQW655413 FAS655371:FAS655413 FKO655371:FKO655413 FUK655371:FUK655413 GEG655371:GEG655413 GOC655371:GOC655413 GXY655371:GXY655413 HHU655371:HHU655413 HRQ655371:HRQ655413 IBM655371:IBM655413 ILI655371:ILI655413 IVE655371:IVE655413 JFA655371:JFA655413 JOW655371:JOW655413 JYS655371:JYS655413 KIO655371:KIO655413 KSK655371:KSK655413 LCG655371:LCG655413 LMC655371:LMC655413 LVY655371:LVY655413 MFU655371:MFU655413 MPQ655371:MPQ655413 MZM655371:MZM655413 NJI655371:NJI655413 NTE655371:NTE655413 ODA655371:ODA655413 OMW655371:OMW655413 OWS655371:OWS655413 PGO655371:PGO655413 PQK655371:PQK655413 QAG655371:QAG655413 QKC655371:QKC655413 QTY655371:QTY655413 RDU655371:RDU655413 RNQ655371:RNQ655413 RXM655371:RXM655413 SHI655371:SHI655413 SRE655371:SRE655413 TBA655371:TBA655413 TKW655371:TKW655413 TUS655371:TUS655413 UEO655371:UEO655413 UOK655371:UOK655413 UYG655371:UYG655413 VIC655371:VIC655413 VRY655371:VRY655413 WBU655371:WBU655413 WLQ655371:WLQ655413 WVM655371:WVM655413 E720907:E720949 JA720907:JA720949 SW720907:SW720949 ACS720907:ACS720949 AMO720907:AMO720949 AWK720907:AWK720949 BGG720907:BGG720949 BQC720907:BQC720949 BZY720907:BZY720949 CJU720907:CJU720949 CTQ720907:CTQ720949 DDM720907:DDM720949 DNI720907:DNI720949 DXE720907:DXE720949 EHA720907:EHA720949 EQW720907:EQW720949 FAS720907:FAS720949 FKO720907:FKO720949 FUK720907:FUK720949 GEG720907:GEG720949 GOC720907:GOC720949 GXY720907:GXY720949 HHU720907:HHU720949 HRQ720907:HRQ720949 IBM720907:IBM720949 ILI720907:ILI720949 IVE720907:IVE720949 JFA720907:JFA720949 JOW720907:JOW720949 JYS720907:JYS720949 KIO720907:KIO720949 KSK720907:KSK720949 LCG720907:LCG720949 LMC720907:LMC720949 LVY720907:LVY720949 MFU720907:MFU720949 MPQ720907:MPQ720949 MZM720907:MZM720949 NJI720907:NJI720949 NTE720907:NTE720949 ODA720907:ODA720949 OMW720907:OMW720949 OWS720907:OWS720949 PGO720907:PGO720949 PQK720907:PQK720949 QAG720907:QAG720949 QKC720907:QKC720949 QTY720907:QTY720949 RDU720907:RDU720949 RNQ720907:RNQ720949 RXM720907:RXM720949 SHI720907:SHI720949 SRE720907:SRE720949 TBA720907:TBA720949 TKW720907:TKW720949 TUS720907:TUS720949 UEO720907:UEO720949 UOK720907:UOK720949 UYG720907:UYG720949 VIC720907:VIC720949 VRY720907:VRY720949 WBU720907:WBU720949 WLQ720907:WLQ720949 WVM720907:WVM720949 E786443:E786485 JA786443:JA786485 SW786443:SW786485 ACS786443:ACS786485 AMO786443:AMO786485 AWK786443:AWK786485 BGG786443:BGG786485 BQC786443:BQC786485 BZY786443:BZY786485 CJU786443:CJU786485 CTQ786443:CTQ786485 DDM786443:DDM786485 DNI786443:DNI786485 DXE786443:DXE786485 EHA786443:EHA786485 EQW786443:EQW786485 FAS786443:FAS786485 FKO786443:FKO786485 FUK786443:FUK786485 GEG786443:GEG786485 GOC786443:GOC786485 GXY786443:GXY786485 HHU786443:HHU786485 HRQ786443:HRQ786485 IBM786443:IBM786485 ILI786443:ILI786485 IVE786443:IVE786485 JFA786443:JFA786485 JOW786443:JOW786485 JYS786443:JYS786485 KIO786443:KIO786485 KSK786443:KSK786485 LCG786443:LCG786485 LMC786443:LMC786485 LVY786443:LVY786485 MFU786443:MFU786485 MPQ786443:MPQ786485 MZM786443:MZM786485 NJI786443:NJI786485 NTE786443:NTE786485 ODA786443:ODA786485 OMW786443:OMW786485 OWS786443:OWS786485 PGO786443:PGO786485 PQK786443:PQK786485 QAG786443:QAG786485 QKC786443:QKC786485 QTY786443:QTY786485 RDU786443:RDU786485 RNQ786443:RNQ786485 RXM786443:RXM786485 SHI786443:SHI786485 SRE786443:SRE786485 TBA786443:TBA786485 TKW786443:TKW786485 TUS786443:TUS786485 UEO786443:UEO786485 UOK786443:UOK786485 UYG786443:UYG786485 VIC786443:VIC786485 VRY786443:VRY786485 WBU786443:WBU786485 WLQ786443:WLQ786485 WVM786443:WVM786485 E851979:E852021 JA851979:JA852021 SW851979:SW852021 ACS851979:ACS852021 AMO851979:AMO852021 AWK851979:AWK852021 BGG851979:BGG852021 BQC851979:BQC852021 BZY851979:BZY852021 CJU851979:CJU852021 CTQ851979:CTQ852021 DDM851979:DDM852021 DNI851979:DNI852021 DXE851979:DXE852021 EHA851979:EHA852021 EQW851979:EQW852021 FAS851979:FAS852021 FKO851979:FKO852021 FUK851979:FUK852021 GEG851979:GEG852021 GOC851979:GOC852021 GXY851979:GXY852021 HHU851979:HHU852021 HRQ851979:HRQ852021 IBM851979:IBM852021 ILI851979:ILI852021 IVE851979:IVE852021 JFA851979:JFA852021 JOW851979:JOW852021 JYS851979:JYS852021 KIO851979:KIO852021 KSK851979:KSK852021 LCG851979:LCG852021 LMC851979:LMC852021 LVY851979:LVY852021 MFU851979:MFU852021 MPQ851979:MPQ852021 MZM851979:MZM852021 NJI851979:NJI852021 NTE851979:NTE852021 ODA851979:ODA852021 OMW851979:OMW852021 OWS851979:OWS852021 PGO851979:PGO852021 PQK851979:PQK852021 QAG851979:QAG852021 QKC851979:QKC852021 QTY851979:QTY852021 RDU851979:RDU852021 RNQ851979:RNQ852021 RXM851979:RXM852021 SHI851979:SHI852021 SRE851979:SRE852021 TBA851979:TBA852021 TKW851979:TKW852021 TUS851979:TUS852021 UEO851979:UEO852021 UOK851979:UOK852021 UYG851979:UYG852021 VIC851979:VIC852021 VRY851979:VRY852021 WBU851979:WBU852021 WLQ851979:WLQ852021 WVM851979:WVM852021 E917515:E917557 JA917515:JA917557 SW917515:SW917557 ACS917515:ACS917557 AMO917515:AMO917557 AWK917515:AWK917557 BGG917515:BGG917557 BQC917515:BQC917557 BZY917515:BZY917557 CJU917515:CJU917557 CTQ917515:CTQ917557 DDM917515:DDM917557 DNI917515:DNI917557 DXE917515:DXE917557 EHA917515:EHA917557 EQW917515:EQW917557 FAS917515:FAS917557 FKO917515:FKO917557 FUK917515:FUK917557 GEG917515:GEG917557 GOC917515:GOC917557 GXY917515:GXY917557 HHU917515:HHU917557 HRQ917515:HRQ917557 IBM917515:IBM917557 ILI917515:ILI917557 IVE917515:IVE917557 JFA917515:JFA917557 JOW917515:JOW917557 JYS917515:JYS917557 KIO917515:KIO917557 KSK917515:KSK917557 LCG917515:LCG917557 LMC917515:LMC917557 LVY917515:LVY917557 MFU917515:MFU917557 MPQ917515:MPQ917557 MZM917515:MZM917557 NJI917515:NJI917557 NTE917515:NTE917557 ODA917515:ODA917557 OMW917515:OMW917557 OWS917515:OWS917557 PGO917515:PGO917557 PQK917515:PQK917557 QAG917515:QAG917557 QKC917515:QKC917557 QTY917515:QTY917557 RDU917515:RDU917557 RNQ917515:RNQ917557 RXM917515:RXM917557 SHI917515:SHI917557 SRE917515:SRE917557 TBA917515:TBA917557 TKW917515:TKW917557 TUS917515:TUS917557 UEO917515:UEO917557 UOK917515:UOK917557 UYG917515:UYG917557 VIC917515:VIC917557 VRY917515:VRY917557 WBU917515:WBU917557 WLQ917515:WLQ917557 WVM917515:WVM917557 E983051:E983093 JA983051:JA983093 SW983051:SW983093 ACS983051:ACS983093 AMO983051:AMO983093 AWK983051:AWK983093 BGG983051:BGG983093 BQC983051:BQC983093 BZY983051:BZY983093 CJU983051:CJU983093 CTQ983051:CTQ983093 DDM983051:DDM983093 DNI983051:DNI983093 DXE983051:DXE983093 EHA983051:EHA983093 EQW983051:EQW983093 FAS983051:FAS983093 FKO983051:FKO983093 FUK983051:FUK983093 GEG983051:GEG983093 GOC983051:GOC983093 GXY983051:GXY983093 HHU983051:HHU983093 HRQ983051:HRQ983093 IBM983051:IBM983093 ILI983051:ILI983093 IVE983051:IVE983093 JFA983051:JFA983093 JOW983051:JOW983093 JYS983051:JYS983093 KIO983051:KIO983093 KSK983051:KSK983093 LCG983051:LCG983093 LMC983051:LMC983093 LVY983051:LVY983093 MFU983051:MFU983093 MPQ983051:MPQ983093 MZM983051:MZM983093 NJI983051:NJI983093 NTE983051:NTE983093 ODA983051:ODA983093 OMW983051:OMW983093 OWS983051:OWS983093 PGO983051:PGO983093 PQK983051:PQK983093 QAG983051:QAG983093 QKC983051:QKC983093 QTY983051:QTY983093 RDU983051:RDU983093 RNQ983051:RNQ983093 RXM983051:RXM983093 SHI983051:SHI983093 SRE983051:SRE983093 TBA983051:TBA983093 TKW983051:TKW983093 TUS983051:TUS983093 UEO983051:UEO983093 UOK983051:UOK983093 UYG983051:UYG983093 VIC983051:VIC983093 VRY983051:VRY983093 WBU983051:WBU983093 WLQ983051:WLQ983093 WVM983051:WVM983093 C65536:G65542 IY65536:JC65542 SU65536:SY65542 ACQ65536:ACU65542 AMM65536:AMQ65542 AWI65536:AWM65542 BGE65536:BGI65542 BQA65536:BQE65542 BZW65536:CAA65542 CJS65536:CJW65542 CTO65536:CTS65542 DDK65536:DDO65542 DNG65536:DNK65542 DXC65536:DXG65542 EGY65536:EHC65542 EQU65536:EQY65542 FAQ65536:FAU65542 FKM65536:FKQ65542 FUI65536:FUM65542 GEE65536:GEI65542 GOA65536:GOE65542 GXW65536:GYA65542 HHS65536:HHW65542 HRO65536:HRS65542 IBK65536:IBO65542 ILG65536:ILK65542 IVC65536:IVG65542 JEY65536:JFC65542 JOU65536:JOY65542 JYQ65536:JYU65542 KIM65536:KIQ65542 KSI65536:KSM65542 LCE65536:LCI65542 LMA65536:LME65542 LVW65536:LWA65542 MFS65536:MFW65542 MPO65536:MPS65542 MZK65536:MZO65542 NJG65536:NJK65542 NTC65536:NTG65542 OCY65536:ODC65542 OMU65536:OMY65542 OWQ65536:OWU65542 PGM65536:PGQ65542 PQI65536:PQM65542 QAE65536:QAI65542 QKA65536:QKE65542 QTW65536:QUA65542 RDS65536:RDW65542 RNO65536:RNS65542 RXK65536:RXO65542 SHG65536:SHK65542 SRC65536:SRG65542 TAY65536:TBC65542 TKU65536:TKY65542 TUQ65536:TUU65542 UEM65536:UEQ65542 UOI65536:UOM65542 UYE65536:UYI65542 VIA65536:VIE65542 VRW65536:VSA65542 WBS65536:WBW65542 WLO65536:WLS65542 WVK65536:WVO65542 C131072:G131078 IY131072:JC131078 SU131072:SY131078 ACQ131072:ACU131078 AMM131072:AMQ131078 AWI131072:AWM131078 BGE131072:BGI131078 BQA131072:BQE131078 BZW131072:CAA131078 CJS131072:CJW131078 CTO131072:CTS131078 DDK131072:DDO131078 DNG131072:DNK131078 DXC131072:DXG131078 EGY131072:EHC131078 EQU131072:EQY131078 FAQ131072:FAU131078 FKM131072:FKQ131078 FUI131072:FUM131078 GEE131072:GEI131078 GOA131072:GOE131078 GXW131072:GYA131078 HHS131072:HHW131078 HRO131072:HRS131078 IBK131072:IBO131078 ILG131072:ILK131078 IVC131072:IVG131078 JEY131072:JFC131078 JOU131072:JOY131078 JYQ131072:JYU131078 KIM131072:KIQ131078 KSI131072:KSM131078 LCE131072:LCI131078 LMA131072:LME131078 LVW131072:LWA131078 MFS131072:MFW131078 MPO131072:MPS131078 MZK131072:MZO131078 NJG131072:NJK131078 NTC131072:NTG131078 OCY131072:ODC131078 OMU131072:OMY131078 OWQ131072:OWU131078 PGM131072:PGQ131078 PQI131072:PQM131078 QAE131072:QAI131078 QKA131072:QKE131078 QTW131072:QUA131078 RDS131072:RDW131078 RNO131072:RNS131078 RXK131072:RXO131078 SHG131072:SHK131078 SRC131072:SRG131078 TAY131072:TBC131078 TKU131072:TKY131078 TUQ131072:TUU131078 UEM131072:UEQ131078 UOI131072:UOM131078 UYE131072:UYI131078 VIA131072:VIE131078 VRW131072:VSA131078 WBS131072:WBW131078 WLO131072:WLS131078 WVK131072:WVO131078 C196608:G196614 IY196608:JC196614 SU196608:SY196614 ACQ196608:ACU196614 AMM196608:AMQ196614 AWI196608:AWM196614 BGE196608:BGI196614 BQA196608:BQE196614 BZW196608:CAA196614 CJS196608:CJW196614 CTO196608:CTS196614 DDK196608:DDO196614 DNG196608:DNK196614 DXC196608:DXG196614 EGY196608:EHC196614 EQU196608:EQY196614 FAQ196608:FAU196614 FKM196608:FKQ196614 FUI196608:FUM196614 GEE196608:GEI196614 GOA196608:GOE196614 GXW196608:GYA196614 HHS196608:HHW196614 HRO196608:HRS196614 IBK196608:IBO196614 ILG196608:ILK196614 IVC196608:IVG196614 JEY196608:JFC196614 JOU196608:JOY196614 JYQ196608:JYU196614 KIM196608:KIQ196614 KSI196608:KSM196614 LCE196608:LCI196614 LMA196608:LME196614 LVW196608:LWA196614 MFS196608:MFW196614 MPO196608:MPS196614 MZK196608:MZO196614 NJG196608:NJK196614 NTC196608:NTG196614 OCY196608:ODC196614 OMU196608:OMY196614 OWQ196608:OWU196614 PGM196608:PGQ196614 PQI196608:PQM196614 QAE196608:QAI196614 QKA196608:QKE196614 QTW196608:QUA196614 RDS196608:RDW196614 RNO196608:RNS196614 RXK196608:RXO196614 SHG196608:SHK196614 SRC196608:SRG196614 TAY196608:TBC196614 TKU196608:TKY196614 TUQ196608:TUU196614 UEM196608:UEQ196614 UOI196608:UOM196614 UYE196608:UYI196614 VIA196608:VIE196614 VRW196608:VSA196614 WBS196608:WBW196614 WLO196608:WLS196614 WVK196608:WVO196614 C262144:G262150 IY262144:JC262150 SU262144:SY262150 ACQ262144:ACU262150 AMM262144:AMQ262150 AWI262144:AWM262150 BGE262144:BGI262150 BQA262144:BQE262150 BZW262144:CAA262150 CJS262144:CJW262150 CTO262144:CTS262150 DDK262144:DDO262150 DNG262144:DNK262150 DXC262144:DXG262150 EGY262144:EHC262150 EQU262144:EQY262150 FAQ262144:FAU262150 FKM262144:FKQ262150 FUI262144:FUM262150 GEE262144:GEI262150 GOA262144:GOE262150 GXW262144:GYA262150 HHS262144:HHW262150 HRO262144:HRS262150 IBK262144:IBO262150 ILG262144:ILK262150 IVC262144:IVG262150 JEY262144:JFC262150 JOU262144:JOY262150 JYQ262144:JYU262150 KIM262144:KIQ262150 KSI262144:KSM262150 LCE262144:LCI262150 LMA262144:LME262150 LVW262144:LWA262150 MFS262144:MFW262150 MPO262144:MPS262150 MZK262144:MZO262150 NJG262144:NJK262150 NTC262144:NTG262150 OCY262144:ODC262150 OMU262144:OMY262150 OWQ262144:OWU262150 PGM262144:PGQ262150 PQI262144:PQM262150 QAE262144:QAI262150 QKA262144:QKE262150 QTW262144:QUA262150 RDS262144:RDW262150 RNO262144:RNS262150 RXK262144:RXO262150 SHG262144:SHK262150 SRC262144:SRG262150 TAY262144:TBC262150 TKU262144:TKY262150 TUQ262144:TUU262150 UEM262144:UEQ262150 UOI262144:UOM262150 UYE262144:UYI262150 VIA262144:VIE262150 VRW262144:VSA262150 WBS262144:WBW262150 WLO262144:WLS262150 WVK262144:WVO262150 C327680:G327686 IY327680:JC327686 SU327680:SY327686 ACQ327680:ACU327686 AMM327680:AMQ327686 AWI327680:AWM327686 BGE327680:BGI327686 BQA327680:BQE327686 BZW327680:CAA327686 CJS327680:CJW327686 CTO327680:CTS327686 DDK327680:DDO327686 DNG327680:DNK327686 DXC327680:DXG327686 EGY327680:EHC327686 EQU327680:EQY327686 FAQ327680:FAU327686 FKM327680:FKQ327686 FUI327680:FUM327686 GEE327680:GEI327686 GOA327680:GOE327686 GXW327680:GYA327686 HHS327680:HHW327686 HRO327680:HRS327686 IBK327680:IBO327686 ILG327680:ILK327686 IVC327680:IVG327686 JEY327680:JFC327686 JOU327680:JOY327686 JYQ327680:JYU327686 KIM327680:KIQ327686 KSI327680:KSM327686 LCE327680:LCI327686 LMA327680:LME327686 LVW327680:LWA327686 MFS327680:MFW327686 MPO327680:MPS327686 MZK327680:MZO327686 NJG327680:NJK327686 NTC327680:NTG327686 OCY327680:ODC327686 OMU327680:OMY327686 OWQ327680:OWU327686 PGM327680:PGQ327686 PQI327680:PQM327686 QAE327680:QAI327686 QKA327680:QKE327686 QTW327680:QUA327686 RDS327680:RDW327686 RNO327680:RNS327686 RXK327680:RXO327686 SHG327680:SHK327686 SRC327680:SRG327686 TAY327680:TBC327686 TKU327680:TKY327686 TUQ327680:TUU327686 UEM327680:UEQ327686 UOI327680:UOM327686 UYE327680:UYI327686 VIA327680:VIE327686 VRW327680:VSA327686 WBS327680:WBW327686 WLO327680:WLS327686 WVK327680:WVO327686 C393216:G393222 IY393216:JC393222 SU393216:SY393222 ACQ393216:ACU393222 AMM393216:AMQ393222 AWI393216:AWM393222 BGE393216:BGI393222 BQA393216:BQE393222 BZW393216:CAA393222 CJS393216:CJW393222 CTO393216:CTS393222 DDK393216:DDO393222 DNG393216:DNK393222 DXC393216:DXG393222 EGY393216:EHC393222 EQU393216:EQY393222 FAQ393216:FAU393222 FKM393216:FKQ393222 FUI393216:FUM393222 GEE393216:GEI393222 GOA393216:GOE393222 GXW393216:GYA393222 HHS393216:HHW393222 HRO393216:HRS393222 IBK393216:IBO393222 ILG393216:ILK393222 IVC393216:IVG393222 JEY393216:JFC393222 JOU393216:JOY393222 JYQ393216:JYU393222 KIM393216:KIQ393222 KSI393216:KSM393222 LCE393216:LCI393222 LMA393216:LME393222 LVW393216:LWA393222 MFS393216:MFW393222 MPO393216:MPS393222 MZK393216:MZO393222 NJG393216:NJK393222 NTC393216:NTG393222 OCY393216:ODC393222 OMU393216:OMY393222 OWQ393216:OWU393222 PGM393216:PGQ393222 PQI393216:PQM393222 QAE393216:QAI393222 QKA393216:QKE393222 QTW393216:QUA393222 RDS393216:RDW393222 RNO393216:RNS393222 RXK393216:RXO393222 SHG393216:SHK393222 SRC393216:SRG393222 TAY393216:TBC393222 TKU393216:TKY393222 TUQ393216:TUU393222 UEM393216:UEQ393222 UOI393216:UOM393222 UYE393216:UYI393222 VIA393216:VIE393222 VRW393216:VSA393222 WBS393216:WBW393222 WLO393216:WLS393222 WVK393216:WVO393222 C458752:G458758 IY458752:JC458758 SU458752:SY458758 ACQ458752:ACU458758 AMM458752:AMQ458758 AWI458752:AWM458758 BGE458752:BGI458758 BQA458752:BQE458758 BZW458752:CAA458758 CJS458752:CJW458758 CTO458752:CTS458758 DDK458752:DDO458758 DNG458752:DNK458758 DXC458752:DXG458758 EGY458752:EHC458758 EQU458752:EQY458758 FAQ458752:FAU458758 FKM458752:FKQ458758 FUI458752:FUM458758 GEE458752:GEI458758 GOA458752:GOE458758 GXW458752:GYA458758 HHS458752:HHW458758 HRO458752:HRS458758 IBK458752:IBO458758 ILG458752:ILK458758 IVC458752:IVG458758 JEY458752:JFC458758 JOU458752:JOY458758 JYQ458752:JYU458758 KIM458752:KIQ458758 KSI458752:KSM458758 LCE458752:LCI458758 LMA458752:LME458758 LVW458752:LWA458758 MFS458752:MFW458758 MPO458752:MPS458758 MZK458752:MZO458758 NJG458752:NJK458758 NTC458752:NTG458758 OCY458752:ODC458758 OMU458752:OMY458758 OWQ458752:OWU458758 PGM458752:PGQ458758 PQI458752:PQM458758 QAE458752:QAI458758 QKA458752:QKE458758 QTW458752:QUA458758 RDS458752:RDW458758 RNO458752:RNS458758 RXK458752:RXO458758 SHG458752:SHK458758 SRC458752:SRG458758 TAY458752:TBC458758 TKU458752:TKY458758 TUQ458752:TUU458758 UEM458752:UEQ458758 UOI458752:UOM458758 UYE458752:UYI458758 VIA458752:VIE458758 VRW458752:VSA458758 WBS458752:WBW458758 WLO458752:WLS458758 WVK458752:WVO458758 C524288:G524294 IY524288:JC524294 SU524288:SY524294 ACQ524288:ACU524294 AMM524288:AMQ524294 AWI524288:AWM524294 BGE524288:BGI524294 BQA524288:BQE524294 BZW524288:CAA524294 CJS524288:CJW524294 CTO524288:CTS524294 DDK524288:DDO524294 DNG524288:DNK524294 DXC524288:DXG524294 EGY524288:EHC524294 EQU524288:EQY524294 FAQ524288:FAU524294 FKM524288:FKQ524294 FUI524288:FUM524294 GEE524288:GEI524294 GOA524288:GOE524294 GXW524288:GYA524294 HHS524288:HHW524294 HRO524288:HRS524294 IBK524288:IBO524294 ILG524288:ILK524294 IVC524288:IVG524294 JEY524288:JFC524294 JOU524288:JOY524294 JYQ524288:JYU524294 KIM524288:KIQ524294 KSI524288:KSM524294 LCE524288:LCI524294 LMA524288:LME524294 LVW524288:LWA524294 MFS524288:MFW524294 MPO524288:MPS524294 MZK524288:MZO524294 NJG524288:NJK524294 NTC524288:NTG524294 OCY524288:ODC524294 OMU524288:OMY524294 OWQ524288:OWU524294 PGM524288:PGQ524294 PQI524288:PQM524294 QAE524288:QAI524294 QKA524288:QKE524294 QTW524288:QUA524294 RDS524288:RDW524294 RNO524288:RNS524294 RXK524288:RXO524294 SHG524288:SHK524294 SRC524288:SRG524294 TAY524288:TBC524294 TKU524288:TKY524294 TUQ524288:TUU524294 UEM524288:UEQ524294 UOI524288:UOM524294 UYE524288:UYI524294 VIA524288:VIE524294 VRW524288:VSA524294 WBS524288:WBW524294 WLO524288:WLS524294 WVK524288:WVO524294 C589824:G589830 IY589824:JC589830 SU589824:SY589830 ACQ589824:ACU589830 AMM589824:AMQ589830 AWI589824:AWM589830 BGE589824:BGI589830 BQA589824:BQE589830 BZW589824:CAA589830 CJS589824:CJW589830 CTO589824:CTS589830 DDK589824:DDO589830 DNG589824:DNK589830 DXC589824:DXG589830 EGY589824:EHC589830 EQU589824:EQY589830 FAQ589824:FAU589830 FKM589824:FKQ589830 FUI589824:FUM589830 GEE589824:GEI589830 GOA589824:GOE589830 GXW589824:GYA589830 HHS589824:HHW589830 HRO589824:HRS589830 IBK589824:IBO589830 ILG589824:ILK589830 IVC589824:IVG589830 JEY589824:JFC589830 JOU589824:JOY589830 JYQ589824:JYU589830 KIM589824:KIQ589830 KSI589824:KSM589830 LCE589824:LCI589830 LMA589824:LME589830 LVW589824:LWA589830 MFS589824:MFW589830 MPO589824:MPS589830 MZK589824:MZO589830 NJG589824:NJK589830 NTC589824:NTG589830 OCY589824:ODC589830 OMU589824:OMY589830 OWQ589824:OWU589830 PGM589824:PGQ589830 PQI589824:PQM589830 QAE589824:QAI589830 QKA589824:QKE589830 QTW589824:QUA589830 RDS589824:RDW589830 RNO589824:RNS589830 RXK589824:RXO589830 SHG589824:SHK589830 SRC589824:SRG589830 TAY589824:TBC589830 TKU589824:TKY589830 TUQ589824:TUU589830 UEM589824:UEQ589830 UOI589824:UOM589830 UYE589824:UYI589830 VIA589824:VIE589830 VRW589824:VSA589830 WBS589824:WBW589830 WLO589824:WLS589830 WVK589824:WVO589830 C655360:G655366 IY655360:JC655366 SU655360:SY655366 ACQ655360:ACU655366 AMM655360:AMQ655366 AWI655360:AWM655366 BGE655360:BGI655366 BQA655360:BQE655366 BZW655360:CAA655366 CJS655360:CJW655366 CTO655360:CTS655366 DDK655360:DDO655366 DNG655360:DNK655366 DXC655360:DXG655366 EGY655360:EHC655366 EQU655360:EQY655366 FAQ655360:FAU655366 FKM655360:FKQ655366 FUI655360:FUM655366 GEE655360:GEI655366 GOA655360:GOE655366 GXW655360:GYA655366 HHS655360:HHW655366 HRO655360:HRS655366 IBK655360:IBO655366 ILG655360:ILK655366 IVC655360:IVG655366 JEY655360:JFC655366 JOU655360:JOY655366 JYQ655360:JYU655366 KIM655360:KIQ655366 KSI655360:KSM655366 LCE655360:LCI655366 LMA655360:LME655366 LVW655360:LWA655366 MFS655360:MFW655366 MPO655360:MPS655366 MZK655360:MZO655366 NJG655360:NJK655366 NTC655360:NTG655366 OCY655360:ODC655366 OMU655360:OMY655366 OWQ655360:OWU655366 PGM655360:PGQ655366 PQI655360:PQM655366 QAE655360:QAI655366 QKA655360:QKE655366 QTW655360:QUA655366 RDS655360:RDW655366 RNO655360:RNS655366 RXK655360:RXO655366 SHG655360:SHK655366 SRC655360:SRG655366 TAY655360:TBC655366 TKU655360:TKY655366 TUQ655360:TUU655366 UEM655360:UEQ655366 UOI655360:UOM655366 UYE655360:UYI655366 VIA655360:VIE655366 VRW655360:VSA655366 WBS655360:WBW655366 WLO655360:WLS655366 WVK655360:WVO655366 C720896:G720902 IY720896:JC720902 SU720896:SY720902 ACQ720896:ACU720902 AMM720896:AMQ720902 AWI720896:AWM720902 BGE720896:BGI720902 BQA720896:BQE720902 BZW720896:CAA720902 CJS720896:CJW720902 CTO720896:CTS720902 DDK720896:DDO720902 DNG720896:DNK720902 DXC720896:DXG720902 EGY720896:EHC720902 EQU720896:EQY720902 FAQ720896:FAU720902 FKM720896:FKQ720902 FUI720896:FUM720902 GEE720896:GEI720902 GOA720896:GOE720902 GXW720896:GYA720902 HHS720896:HHW720902 HRO720896:HRS720902 IBK720896:IBO720902 ILG720896:ILK720902 IVC720896:IVG720902 JEY720896:JFC720902 JOU720896:JOY720902 JYQ720896:JYU720902 KIM720896:KIQ720902 KSI720896:KSM720902 LCE720896:LCI720902 LMA720896:LME720902 LVW720896:LWA720902 MFS720896:MFW720902 MPO720896:MPS720902 MZK720896:MZO720902 NJG720896:NJK720902 NTC720896:NTG720902 OCY720896:ODC720902 OMU720896:OMY720902 OWQ720896:OWU720902 PGM720896:PGQ720902 PQI720896:PQM720902 QAE720896:QAI720902 QKA720896:QKE720902 QTW720896:QUA720902 RDS720896:RDW720902 RNO720896:RNS720902 RXK720896:RXO720902 SHG720896:SHK720902 SRC720896:SRG720902 TAY720896:TBC720902 TKU720896:TKY720902 TUQ720896:TUU720902 UEM720896:UEQ720902 UOI720896:UOM720902 UYE720896:UYI720902 VIA720896:VIE720902 VRW720896:VSA720902 WBS720896:WBW720902 WLO720896:WLS720902 WVK720896:WVO720902 C786432:G786438 IY786432:JC786438 SU786432:SY786438 ACQ786432:ACU786438 AMM786432:AMQ786438 AWI786432:AWM786438 BGE786432:BGI786438 BQA786432:BQE786438 BZW786432:CAA786438 CJS786432:CJW786438 CTO786432:CTS786438 DDK786432:DDO786438 DNG786432:DNK786438 DXC786432:DXG786438 EGY786432:EHC786438 EQU786432:EQY786438 FAQ786432:FAU786438 FKM786432:FKQ786438 FUI786432:FUM786438 GEE786432:GEI786438 GOA786432:GOE786438 GXW786432:GYA786438 HHS786432:HHW786438 HRO786432:HRS786438 IBK786432:IBO786438 ILG786432:ILK786438 IVC786432:IVG786438 JEY786432:JFC786438 JOU786432:JOY786438 JYQ786432:JYU786438 KIM786432:KIQ786438 KSI786432:KSM786438 LCE786432:LCI786438 LMA786432:LME786438 LVW786432:LWA786438 MFS786432:MFW786438 MPO786432:MPS786438 MZK786432:MZO786438 NJG786432:NJK786438 NTC786432:NTG786438 OCY786432:ODC786438 OMU786432:OMY786438 OWQ786432:OWU786438 PGM786432:PGQ786438 PQI786432:PQM786438 QAE786432:QAI786438 QKA786432:QKE786438 QTW786432:QUA786438 RDS786432:RDW786438 RNO786432:RNS786438 RXK786432:RXO786438 SHG786432:SHK786438 SRC786432:SRG786438 TAY786432:TBC786438 TKU786432:TKY786438 TUQ786432:TUU786438 UEM786432:UEQ786438 UOI786432:UOM786438 UYE786432:UYI786438 VIA786432:VIE786438 VRW786432:VSA786438 WBS786432:WBW786438 WLO786432:WLS786438 WVK786432:WVO786438 C851968:G851974 IY851968:JC851974 SU851968:SY851974 ACQ851968:ACU851974 AMM851968:AMQ851974 AWI851968:AWM851974 BGE851968:BGI851974 BQA851968:BQE851974 BZW851968:CAA851974 CJS851968:CJW851974 CTO851968:CTS851974 DDK851968:DDO851974 DNG851968:DNK851974 DXC851968:DXG851974 EGY851968:EHC851974 EQU851968:EQY851974 FAQ851968:FAU851974 FKM851968:FKQ851974 FUI851968:FUM851974 GEE851968:GEI851974 GOA851968:GOE851974 GXW851968:GYA851974 HHS851968:HHW851974 HRO851968:HRS851974 IBK851968:IBO851974 ILG851968:ILK851974 IVC851968:IVG851974 JEY851968:JFC851974 JOU851968:JOY851974 JYQ851968:JYU851974 KIM851968:KIQ851974 KSI851968:KSM851974 LCE851968:LCI851974 LMA851968:LME851974 LVW851968:LWA851974 MFS851968:MFW851974 MPO851968:MPS851974 MZK851968:MZO851974 NJG851968:NJK851974 NTC851968:NTG851974 OCY851968:ODC851974 OMU851968:OMY851974 OWQ851968:OWU851974 PGM851968:PGQ851974 PQI851968:PQM851974 QAE851968:QAI851974 QKA851968:QKE851974 QTW851968:QUA851974 RDS851968:RDW851974 RNO851968:RNS851974 RXK851968:RXO851974 SHG851968:SHK851974 SRC851968:SRG851974 TAY851968:TBC851974 TKU851968:TKY851974 TUQ851968:TUU851974 UEM851968:UEQ851974 UOI851968:UOM851974 UYE851968:UYI851974 VIA851968:VIE851974 VRW851968:VSA851974 WBS851968:WBW851974 WLO851968:WLS851974 WVK851968:WVO851974 C917504:G917510 IY917504:JC917510 SU917504:SY917510 ACQ917504:ACU917510 AMM917504:AMQ917510 AWI917504:AWM917510 BGE917504:BGI917510 BQA917504:BQE917510 BZW917504:CAA917510 CJS917504:CJW917510 CTO917504:CTS917510 DDK917504:DDO917510 DNG917504:DNK917510 DXC917504:DXG917510 EGY917504:EHC917510 EQU917504:EQY917510 FAQ917504:FAU917510 FKM917504:FKQ917510 FUI917504:FUM917510 GEE917504:GEI917510 GOA917504:GOE917510 GXW917504:GYA917510 HHS917504:HHW917510 HRO917504:HRS917510 IBK917504:IBO917510 ILG917504:ILK917510 IVC917504:IVG917510 JEY917504:JFC917510 JOU917504:JOY917510 JYQ917504:JYU917510 KIM917504:KIQ917510 KSI917504:KSM917510 LCE917504:LCI917510 LMA917504:LME917510 LVW917504:LWA917510 MFS917504:MFW917510 MPO917504:MPS917510 MZK917504:MZO917510 NJG917504:NJK917510 NTC917504:NTG917510 OCY917504:ODC917510 OMU917504:OMY917510 OWQ917504:OWU917510 PGM917504:PGQ917510 PQI917504:PQM917510 QAE917504:QAI917510 QKA917504:QKE917510 QTW917504:QUA917510 RDS917504:RDW917510 RNO917504:RNS917510 RXK917504:RXO917510 SHG917504:SHK917510 SRC917504:SRG917510 TAY917504:TBC917510 TKU917504:TKY917510 TUQ917504:TUU917510 UEM917504:UEQ917510 UOI917504:UOM917510 UYE917504:UYI917510 VIA917504:VIE917510 VRW917504:VSA917510 WBS917504:WBW917510 WLO917504:WLS917510 WVK917504:WVO917510 C983040:G983046 IY983040:JC983046 SU983040:SY983046 ACQ983040:ACU983046 AMM983040:AMQ983046 AWI983040:AWM983046 BGE983040:BGI983046 BQA983040:BQE983046 BZW983040:CAA983046 CJS983040:CJW983046 CTO983040:CTS983046 DDK983040:DDO983046 DNG983040:DNK983046 DXC983040:DXG983046 EGY983040:EHC983046 EQU983040:EQY983046 FAQ983040:FAU983046 FKM983040:FKQ983046 FUI983040:FUM983046 GEE983040:GEI983046 GOA983040:GOE983046 GXW983040:GYA983046 HHS983040:HHW983046 HRO983040:HRS983046 IBK983040:IBO983046 ILG983040:ILK983046 IVC983040:IVG983046 JEY983040:JFC983046 JOU983040:JOY983046 JYQ983040:JYU983046 KIM983040:KIQ983046 KSI983040:KSM983046 LCE983040:LCI983046 LMA983040:LME983046 LVW983040:LWA983046 MFS983040:MFW983046 MPO983040:MPS983046 MZK983040:MZO983046 NJG983040:NJK983046 NTC983040:NTG983046 OCY983040:ODC983046 OMU983040:OMY983046 OWQ983040:OWU983046 PGM983040:PGQ983046 PQI983040:PQM983046 QAE983040:QAI983046 QKA983040:QKE983046 QTW983040:QUA983046 RDS983040:RDW983046 RNO983040:RNS983046 RXK983040:RXO983046 SHG983040:SHK983046 SRC983040:SRG983046 TAY983040:TBC983046 TKU983040:TKY983046 TUQ983040:TUU983046 UEM983040:UEQ983046 UOI983040:UOM983046 UYE983040:UYI983046 VIA983040:VIE983046 VRW983040:VSA983046 WBS983040:WBW983046 WLO983040:WLS983046 WVK983040:WVO983046 F10:H52 JB10:JD52 SX10:SZ52 ACT10:ACV52 AMP10:AMR52 AWL10:AWN52 BGH10:BGJ52 BQD10:BQF52 BZZ10:CAB52 CJV10:CJX52 CTR10:CTT52 DDN10:DDP52 DNJ10:DNL52 DXF10:DXH52 EHB10:EHD52 EQX10:EQZ52 FAT10:FAV52 FKP10:FKR52 FUL10:FUN52 GEH10:GEJ52 GOD10:GOF52 GXZ10:GYB52 HHV10:HHX52 HRR10:HRT52 IBN10:IBP52 ILJ10:ILL52 IVF10:IVH52 JFB10:JFD52 JOX10:JOZ52 JYT10:JYV52 KIP10:KIR52 KSL10:KSN52 LCH10:LCJ52 LMD10:LMF52 LVZ10:LWB52 MFV10:MFX52 MPR10:MPT52 MZN10:MZP52 NJJ10:NJL52 NTF10:NTH52 ODB10:ODD52 OMX10:OMZ52 OWT10:OWV52 PGP10:PGR52 PQL10:PQN52 QAH10:QAJ52 QKD10:QKF52 QTZ10:QUB52 RDV10:RDX52 RNR10:RNT52 RXN10:RXP52 SHJ10:SHL52 SRF10:SRH52 TBB10:TBD52 TKX10:TKZ52 TUT10:TUV52 UEP10:UER52 UOL10:UON52 UYH10:UYJ52 VID10:VIF52 VRZ10:VSB52 WBV10:WBX52 WLR10:WLT52 WVN10:WVP52 F65546:H65588 JB65546:JD65588 SX65546:SZ65588 ACT65546:ACV65588 AMP65546:AMR65588 AWL65546:AWN65588 BGH65546:BGJ65588 BQD65546:BQF65588 BZZ65546:CAB65588 CJV65546:CJX65588 CTR65546:CTT65588 DDN65546:DDP65588 DNJ65546:DNL65588 DXF65546:DXH65588 EHB65546:EHD65588 EQX65546:EQZ65588 FAT65546:FAV65588 FKP65546:FKR65588 FUL65546:FUN65588 GEH65546:GEJ65588 GOD65546:GOF65588 GXZ65546:GYB65588 HHV65546:HHX65588 HRR65546:HRT65588 IBN65546:IBP65588 ILJ65546:ILL65588 IVF65546:IVH65588 JFB65546:JFD65588 JOX65546:JOZ65588 JYT65546:JYV65588 KIP65546:KIR65588 KSL65546:KSN65588 LCH65546:LCJ65588 LMD65546:LMF65588 LVZ65546:LWB65588 MFV65546:MFX65588 MPR65546:MPT65588 MZN65546:MZP65588 NJJ65546:NJL65588 NTF65546:NTH65588 ODB65546:ODD65588 OMX65546:OMZ65588 OWT65546:OWV65588 PGP65546:PGR65588 PQL65546:PQN65588 QAH65546:QAJ65588 QKD65546:QKF65588 QTZ65546:QUB65588 RDV65546:RDX65588 RNR65546:RNT65588 RXN65546:RXP65588 SHJ65546:SHL65588 SRF65546:SRH65588 TBB65546:TBD65588 TKX65546:TKZ65588 TUT65546:TUV65588 UEP65546:UER65588 UOL65546:UON65588 UYH65546:UYJ65588 VID65546:VIF65588 VRZ65546:VSB65588 WBV65546:WBX65588 WLR65546:WLT65588 WVN65546:WVP65588 F131082:H131124 JB131082:JD131124 SX131082:SZ131124 ACT131082:ACV131124 AMP131082:AMR131124 AWL131082:AWN131124 BGH131082:BGJ131124 BQD131082:BQF131124 BZZ131082:CAB131124 CJV131082:CJX131124 CTR131082:CTT131124 DDN131082:DDP131124 DNJ131082:DNL131124 DXF131082:DXH131124 EHB131082:EHD131124 EQX131082:EQZ131124 FAT131082:FAV131124 FKP131082:FKR131124 FUL131082:FUN131124 GEH131082:GEJ131124 GOD131082:GOF131124 GXZ131082:GYB131124 HHV131082:HHX131124 HRR131082:HRT131124 IBN131082:IBP131124 ILJ131082:ILL131124 IVF131082:IVH131124 JFB131082:JFD131124 JOX131082:JOZ131124 JYT131082:JYV131124 KIP131082:KIR131124 KSL131082:KSN131124 LCH131082:LCJ131124 LMD131082:LMF131124 LVZ131082:LWB131124 MFV131082:MFX131124 MPR131082:MPT131124 MZN131082:MZP131124 NJJ131082:NJL131124 NTF131082:NTH131124 ODB131082:ODD131124 OMX131082:OMZ131124 OWT131082:OWV131124 PGP131082:PGR131124 PQL131082:PQN131124 QAH131082:QAJ131124 QKD131082:QKF131124 QTZ131082:QUB131124 RDV131082:RDX131124 RNR131082:RNT131124 RXN131082:RXP131124 SHJ131082:SHL131124 SRF131082:SRH131124 TBB131082:TBD131124 TKX131082:TKZ131124 TUT131082:TUV131124 UEP131082:UER131124 UOL131082:UON131124 UYH131082:UYJ131124 VID131082:VIF131124 VRZ131082:VSB131124 WBV131082:WBX131124 WLR131082:WLT131124 WVN131082:WVP131124 F196618:H196660 JB196618:JD196660 SX196618:SZ196660 ACT196618:ACV196660 AMP196618:AMR196660 AWL196618:AWN196660 BGH196618:BGJ196660 BQD196618:BQF196660 BZZ196618:CAB196660 CJV196618:CJX196660 CTR196618:CTT196660 DDN196618:DDP196660 DNJ196618:DNL196660 DXF196618:DXH196660 EHB196618:EHD196660 EQX196618:EQZ196660 FAT196618:FAV196660 FKP196618:FKR196660 FUL196618:FUN196660 GEH196618:GEJ196660 GOD196618:GOF196660 GXZ196618:GYB196660 HHV196618:HHX196660 HRR196618:HRT196660 IBN196618:IBP196660 ILJ196618:ILL196660 IVF196618:IVH196660 JFB196618:JFD196660 JOX196618:JOZ196660 JYT196618:JYV196660 KIP196618:KIR196660 KSL196618:KSN196660 LCH196618:LCJ196660 LMD196618:LMF196660 LVZ196618:LWB196660 MFV196618:MFX196660 MPR196618:MPT196660 MZN196618:MZP196660 NJJ196618:NJL196660 NTF196618:NTH196660 ODB196618:ODD196660 OMX196618:OMZ196660 OWT196618:OWV196660 PGP196618:PGR196660 PQL196618:PQN196660 QAH196618:QAJ196660 QKD196618:QKF196660 QTZ196618:QUB196660 RDV196618:RDX196660 RNR196618:RNT196660 RXN196618:RXP196660 SHJ196618:SHL196660 SRF196618:SRH196660 TBB196618:TBD196660 TKX196618:TKZ196660 TUT196618:TUV196660 UEP196618:UER196660 UOL196618:UON196660 UYH196618:UYJ196660 VID196618:VIF196660 VRZ196618:VSB196660 WBV196618:WBX196660 WLR196618:WLT196660 WVN196618:WVP196660 F262154:H262196 JB262154:JD262196 SX262154:SZ262196 ACT262154:ACV262196 AMP262154:AMR262196 AWL262154:AWN262196 BGH262154:BGJ262196 BQD262154:BQF262196 BZZ262154:CAB262196 CJV262154:CJX262196 CTR262154:CTT262196 DDN262154:DDP262196 DNJ262154:DNL262196 DXF262154:DXH262196 EHB262154:EHD262196 EQX262154:EQZ262196 FAT262154:FAV262196 FKP262154:FKR262196 FUL262154:FUN262196 GEH262154:GEJ262196 GOD262154:GOF262196 GXZ262154:GYB262196 HHV262154:HHX262196 HRR262154:HRT262196 IBN262154:IBP262196 ILJ262154:ILL262196 IVF262154:IVH262196 JFB262154:JFD262196 JOX262154:JOZ262196 JYT262154:JYV262196 KIP262154:KIR262196 KSL262154:KSN262196 LCH262154:LCJ262196 LMD262154:LMF262196 LVZ262154:LWB262196 MFV262154:MFX262196 MPR262154:MPT262196 MZN262154:MZP262196 NJJ262154:NJL262196 NTF262154:NTH262196 ODB262154:ODD262196 OMX262154:OMZ262196 OWT262154:OWV262196 PGP262154:PGR262196 PQL262154:PQN262196 QAH262154:QAJ262196 QKD262154:QKF262196 QTZ262154:QUB262196 RDV262154:RDX262196 RNR262154:RNT262196 RXN262154:RXP262196 SHJ262154:SHL262196 SRF262154:SRH262196 TBB262154:TBD262196 TKX262154:TKZ262196 TUT262154:TUV262196 UEP262154:UER262196 UOL262154:UON262196 UYH262154:UYJ262196 VID262154:VIF262196 VRZ262154:VSB262196 WBV262154:WBX262196 WLR262154:WLT262196 WVN262154:WVP262196 F327690:H327732 JB327690:JD327732 SX327690:SZ327732 ACT327690:ACV327732 AMP327690:AMR327732 AWL327690:AWN327732 BGH327690:BGJ327732 BQD327690:BQF327732 BZZ327690:CAB327732 CJV327690:CJX327732 CTR327690:CTT327732 DDN327690:DDP327732 DNJ327690:DNL327732 DXF327690:DXH327732 EHB327690:EHD327732 EQX327690:EQZ327732 FAT327690:FAV327732 FKP327690:FKR327732 FUL327690:FUN327732 GEH327690:GEJ327732 GOD327690:GOF327732 GXZ327690:GYB327732 HHV327690:HHX327732 HRR327690:HRT327732 IBN327690:IBP327732 ILJ327690:ILL327732 IVF327690:IVH327732 JFB327690:JFD327732 JOX327690:JOZ327732 JYT327690:JYV327732 KIP327690:KIR327732 KSL327690:KSN327732 LCH327690:LCJ327732 LMD327690:LMF327732 LVZ327690:LWB327732 MFV327690:MFX327732 MPR327690:MPT327732 MZN327690:MZP327732 NJJ327690:NJL327732 NTF327690:NTH327732 ODB327690:ODD327732 OMX327690:OMZ327732 OWT327690:OWV327732 PGP327690:PGR327732 PQL327690:PQN327732 QAH327690:QAJ327732 QKD327690:QKF327732 QTZ327690:QUB327732 RDV327690:RDX327732 RNR327690:RNT327732 RXN327690:RXP327732 SHJ327690:SHL327732 SRF327690:SRH327732 TBB327690:TBD327732 TKX327690:TKZ327732 TUT327690:TUV327732 UEP327690:UER327732 UOL327690:UON327732 UYH327690:UYJ327732 VID327690:VIF327732 VRZ327690:VSB327732 WBV327690:WBX327732 WLR327690:WLT327732 WVN327690:WVP327732 F393226:H393268 JB393226:JD393268 SX393226:SZ393268 ACT393226:ACV393268 AMP393226:AMR393268 AWL393226:AWN393268 BGH393226:BGJ393268 BQD393226:BQF393268 BZZ393226:CAB393268 CJV393226:CJX393268 CTR393226:CTT393268 DDN393226:DDP393268 DNJ393226:DNL393268 DXF393226:DXH393268 EHB393226:EHD393268 EQX393226:EQZ393268 FAT393226:FAV393268 FKP393226:FKR393268 FUL393226:FUN393268 GEH393226:GEJ393268 GOD393226:GOF393268 GXZ393226:GYB393268 HHV393226:HHX393268 HRR393226:HRT393268 IBN393226:IBP393268 ILJ393226:ILL393268 IVF393226:IVH393268 JFB393226:JFD393268 JOX393226:JOZ393268 JYT393226:JYV393268 KIP393226:KIR393268 KSL393226:KSN393268 LCH393226:LCJ393268 LMD393226:LMF393268 LVZ393226:LWB393268 MFV393226:MFX393268 MPR393226:MPT393268 MZN393226:MZP393268 NJJ393226:NJL393268 NTF393226:NTH393268 ODB393226:ODD393268 OMX393226:OMZ393268 OWT393226:OWV393268 PGP393226:PGR393268 PQL393226:PQN393268 QAH393226:QAJ393268 QKD393226:QKF393268 QTZ393226:QUB393268 RDV393226:RDX393268 RNR393226:RNT393268 RXN393226:RXP393268 SHJ393226:SHL393268 SRF393226:SRH393268 TBB393226:TBD393268 TKX393226:TKZ393268 TUT393226:TUV393268 UEP393226:UER393268 UOL393226:UON393268 UYH393226:UYJ393268 VID393226:VIF393268 VRZ393226:VSB393268 WBV393226:WBX393268 WLR393226:WLT393268 WVN393226:WVP393268 F458762:H458804 JB458762:JD458804 SX458762:SZ458804 ACT458762:ACV458804 AMP458762:AMR458804 AWL458762:AWN458804 BGH458762:BGJ458804 BQD458762:BQF458804 BZZ458762:CAB458804 CJV458762:CJX458804 CTR458762:CTT458804 DDN458762:DDP458804 DNJ458762:DNL458804 DXF458762:DXH458804 EHB458762:EHD458804 EQX458762:EQZ458804 FAT458762:FAV458804 FKP458762:FKR458804 FUL458762:FUN458804 GEH458762:GEJ458804 GOD458762:GOF458804 GXZ458762:GYB458804 HHV458762:HHX458804 HRR458762:HRT458804 IBN458762:IBP458804 ILJ458762:ILL458804 IVF458762:IVH458804 JFB458762:JFD458804 JOX458762:JOZ458804 JYT458762:JYV458804 KIP458762:KIR458804 KSL458762:KSN458804 LCH458762:LCJ458804 LMD458762:LMF458804 LVZ458762:LWB458804 MFV458762:MFX458804 MPR458762:MPT458804 MZN458762:MZP458804 NJJ458762:NJL458804 NTF458762:NTH458804 ODB458762:ODD458804 OMX458762:OMZ458804 OWT458762:OWV458804 PGP458762:PGR458804 PQL458762:PQN458804 QAH458762:QAJ458804 QKD458762:QKF458804 QTZ458762:QUB458804 RDV458762:RDX458804 RNR458762:RNT458804 RXN458762:RXP458804 SHJ458762:SHL458804 SRF458762:SRH458804 TBB458762:TBD458804 TKX458762:TKZ458804 TUT458762:TUV458804 UEP458762:UER458804 UOL458762:UON458804 UYH458762:UYJ458804 VID458762:VIF458804 VRZ458762:VSB458804 WBV458762:WBX458804 WLR458762:WLT458804 WVN458762:WVP458804 F524298:H524340 JB524298:JD524340 SX524298:SZ524340 ACT524298:ACV524340 AMP524298:AMR524340 AWL524298:AWN524340 BGH524298:BGJ524340 BQD524298:BQF524340 BZZ524298:CAB524340 CJV524298:CJX524340 CTR524298:CTT524340 DDN524298:DDP524340 DNJ524298:DNL524340 DXF524298:DXH524340 EHB524298:EHD524340 EQX524298:EQZ524340 FAT524298:FAV524340 FKP524298:FKR524340 FUL524298:FUN524340 GEH524298:GEJ524340 GOD524298:GOF524340 GXZ524298:GYB524340 HHV524298:HHX524340 HRR524298:HRT524340 IBN524298:IBP524340 ILJ524298:ILL524340 IVF524298:IVH524340 JFB524298:JFD524340 JOX524298:JOZ524340 JYT524298:JYV524340 KIP524298:KIR524340 KSL524298:KSN524340 LCH524298:LCJ524340 LMD524298:LMF524340 LVZ524298:LWB524340 MFV524298:MFX524340 MPR524298:MPT524340 MZN524298:MZP524340 NJJ524298:NJL524340 NTF524298:NTH524340 ODB524298:ODD524340 OMX524298:OMZ524340 OWT524298:OWV524340 PGP524298:PGR524340 PQL524298:PQN524340 QAH524298:QAJ524340 QKD524298:QKF524340 QTZ524298:QUB524340 RDV524298:RDX524340 RNR524298:RNT524340 RXN524298:RXP524340 SHJ524298:SHL524340 SRF524298:SRH524340 TBB524298:TBD524340 TKX524298:TKZ524340 TUT524298:TUV524340 UEP524298:UER524340 UOL524298:UON524340 UYH524298:UYJ524340 VID524298:VIF524340 VRZ524298:VSB524340 WBV524298:WBX524340 WLR524298:WLT524340 WVN524298:WVP524340 F589834:H589876 JB589834:JD589876 SX589834:SZ589876 ACT589834:ACV589876 AMP589834:AMR589876 AWL589834:AWN589876 BGH589834:BGJ589876 BQD589834:BQF589876 BZZ589834:CAB589876 CJV589834:CJX589876 CTR589834:CTT589876 DDN589834:DDP589876 DNJ589834:DNL589876 DXF589834:DXH589876 EHB589834:EHD589876 EQX589834:EQZ589876 FAT589834:FAV589876 FKP589834:FKR589876 FUL589834:FUN589876 GEH589834:GEJ589876 GOD589834:GOF589876 GXZ589834:GYB589876 HHV589834:HHX589876 HRR589834:HRT589876 IBN589834:IBP589876 ILJ589834:ILL589876 IVF589834:IVH589876 JFB589834:JFD589876 JOX589834:JOZ589876 JYT589834:JYV589876 KIP589834:KIR589876 KSL589834:KSN589876 LCH589834:LCJ589876 LMD589834:LMF589876 LVZ589834:LWB589876 MFV589834:MFX589876 MPR589834:MPT589876 MZN589834:MZP589876 NJJ589834:NJL589876 NTF589834:NTH589876 ODB589834:ODD589876 OMX589834:OMZ589876 OWT589834:OWV589876 PGP589834:PGR589876 PQL589834:PQN589876 QAH589834:QAJ589876 QKD589834:QKF589876 QTZ589834:QUB589876 RDV589834:RDX589876 RNR589834:RNT589876 RXN589834:RXP589876 SHJ589834:SHL589876 SRF589834:SRH589876 TBB589834:TBD589876 TKX589834:TKZ589876 TUT589834:TUV589876 UEP589834:UER589876 UOL589834:UON589876 UYH589834:UYJ589876 VID589834:VIF589876 VRZ589834:VSB589876 WBV589834:WBX589876 WLR589834:WLT589876 WVN589834:WVP589876 F655370:H655412 JB655370:JD655412 SX655370:SZ655412 ACT655370:ACV655412 AMP655370:AMR655412 AWL655370:AWN655412 BGH655370:BGJ655412 BQD655370:BQF655412 BZZ655370:CAB655412 CJV655370:CJX655412 CTR655370:CTT655412 DDN655370:DDP655412 DNJ655370:DNL655412 DXF655370:DXH655412 EHB655370:EHD655412 EQX655370:EQZ655412 FAT655370:FAV655412 FKP655370:FKR655412 FUL655370:FUN655412 GEH655370:GEJ655412 GOD655370:GOF655412 GXZ655370:GYB655412 HHV655370:HHX655412 HRR655370:HRT655412 IBN655370:IBP655412 ILJ655370:ILL655412 IVF655370:IVH655412 JFB655370:JFD655412 JOX655370:JOZ655412 JYT655370:JYV655412 KIP655370:KIR655412 KSL655370:KSN655412 LCH655370:LCJ655412 LMD655370:LMF655412 LVZ655370:LWB655412 MFV655370:MFX655412 MPR655370:MPT655412 MZN655370:MZP655412 NJJ655370:NJL655412 NTF655370:NTH655412 ODB655370:ODD655412 OMX655370:OMZ655412 OWT655370:OWV655412 PGP655370:PGR655412 PQL655370:PQN655412 QAH655370:QAJ655412 QKD655370:QKF655412 QTZ655370:QUB655412 RDV655370:RDX655412 RNR655370:RNT655412 RXN655370:RXP655412 SHJ655370:SHL655412 SRF655370:SRH655412 TBB655370:TBD655412 TKX655370:TKZ655412 TUT655370:TUV655412 UEP655370:UER655412 UOL655370:UON655412 UYH655370:UYJ655412 VID655370:VIF655412 VRZ655370:VSB655412 WBV655370:WBX655412 WLR655370:WLT655412 WVN655370:WVP655412 F720906:H720948 JB720906:JD720948 SX720906:SZ720948 ACT720906:ACV720948 AMP720906:AMR720948 AWL720906:AWN720948 BGH720906:BGJ720948 BQD720906:BQF720948 BZZ720906:CAB720948 CJV720906:CJX720948 CTR720906:CTT720948 DDN720906:DDP720948 DNJ720906:DNL720948 DXF720906:DXH720948 EHB720906:EHD720948 EQX720906:EQZ720948 FAT720906:FAV720948 FKP720906:FKR720948 FUL720906:FUN720948 GEH720906:GEJ720948 GOD720906:GOF720948 GXZ720906:GYB720948 HHV720906:HHX720948 HRR720906:HRT720948 IBN720906:IBP720948 ILJ720906:ILL720948 IVF720906:IVH720948 JFB720906:JFD720948 JOX720906:JOZ720948 JYT720906:JYV720948 KIP720906:KIR720948 KSL720906:KSN720948 LCH720906:LCJ720948 LMD720906:LMF720948 LVZ720906:LWB720948 MFV720906:MFX720948 MPR720906:MPT720948 MZN720906:MZP720948 NJJ720906:NJL720948 NTF720906:NTH720948 ODB720906:ODD720948 OMX720906:OMZ720948 OWT720906:OWV720948 PGP720906:PGR720948 PQL720906:PQN720948 QAH720906:QAJ720948 QKD720906:QKF720948 QTZ720906:QUB720948 RDV720906:RDX720948 RNR720906:RNT720948 RXN720906:RXP720948 SHJ720906:SHL720948 SRF720906:SRH720948 TBB720906:TBD720948 TKX720906:TKZ720948 TUT720906:TUV720948 UEP720906:UER720948 UOL720906:UON720948 UYH720906:UYJ720948 VID720906:VIF720948 VRZ720906:VSB720948 WBV720906:WBX720948 WLR720906:WLT720948 WVN720906:WVP720948 F786442:H786484 JB786442:JD786484 SX786442:SZ786484 ACT786442:ACV786484 AMP786442:AMR786484 AWL786442:AWN786484 BGH786442:BGJ786484 BQD786442:BQF786484 BZZ786442:CAB786484 CJV786442:CJX786484 CTR786442:CTT786484 DDN786442:DDP786484 DNJ786442:DNL786484 DXF786442:DXH786484 EHB786442:EHD786484 EQX786442:EQZ786484 FAT786442:FAV786484 FKP786442:FKR786484 FUL786442:FUN786484 GEH786442:GEJ786484 GOD786442:GOF786484 GXZ786442:GYB786484 HHV786442:HHX786484 HRR786442:HRT786484 IBN786442:IBP786484 ILJ786442:ILL786484 IVF786442:IVH786484 JFB786442:JFD786484 JOX786442:JOZ786484 JYT786442:JYV786484 KIP786442:KIR786484 KSL786442:KSN786484 LCH786442:LCJ786484 LMD786442:LMF786484 LVZ786442:LWB786484 MFV786442:MFX786484 MPR786442:MPT786484 MZN786442:MZP786484 NJJ786442:NJL786484 NTF786442:NTH786484 ODB786442:ODD786484 OMX786442:OMZ786484 OWT786442:OWV786484 PGP786442:PGR786484 PQL786442:PQN786484 QAH786442:QAJ786484 QKD786442:QKF786484 QTZ786442:QUB786484 RDV786442:RDX786484 RNR786442:RNT786484 RXN786442:RXP786484 SHJ786442:SHL786484 SRF786442:SRH786484 TBB786442:TBD786484 TKX786442:TKZ786484 TUT786442:TUV786484 UEP786442:UER786484 UOL786442:UON786484 UYH786442:UYJ786484 VID786442:VIF786484 VRZ786442:VSB786484 WBV786442:WBX786484 WLR786442:WLT786484 WVN786442:WVP786484 F851978:H852020 JB851978:JD852020 SX851978:SZ852020 ACT851978:ACV852020 AMP851978:AMR852020 AWL851978:AWN852020 BGH851978:BGJ852020 BQD851978:BQF852020 BZZ851978:CAB852020 CJV851978:CJX852020 CTR851978:CTT852020 DDN851978:DDP852020 DNJ851978:DNL852020 DXF851978:DXH852020 EHB851978:EHD852020 EQX851978:EQZ852020 FAT851978:FAV852020 FKP851978:FKR852020 FUL851978:FUN852020 GEH851978:GEJ852020 GOD851978:GOF852020 GXZ851978:GYB852020 HHV851978:HHX852020 HRR851978:HRT852020 IBN851978:IBP852020 ILJ851978:ILL852020 IVF851978:IVH852020 JFB851978:JFD852020 JOX851978:JOZ852020 JYT851978:JYV852020 KIP851978:KIR852020 KSL851978:KSN852020 LCH851978:LCJ852020 LMD851978:LMF852020 LVZ851978:LWB852020 MFV851978:MFX852020 MPR851978:MPT852020 MZN851978:MZP852020 NJJ851978:NJL852020 NTF851978:NTH852020 ODB851978:ODD852020 OMX851978:OMZ852020 OWT851978:OWV852020 PGP851978:PGR852020 PQL851978:PQN852020 QAH851978:QAJ852020 QKD851978:QKF852020 QTZ851978:QUB852020 RDV851978:RDX852020 RNR851978:RNT852020 RXN851978:RXP852020 SHJ851978:SHL852020 SRF851978:SRH852020 TBB851978:TBD852020 TKX851978:TKZ852020 TUT851978:TUV852020 UEP851978:UER852020 UOL851978:UON852020 UYH851978:UYJ852020 VID851978:VIF852020 VRZ851978:VSB852020 WBV851978:WBX852020 WLR851978:WLT852020 WVN851978:WVP852020 F917514:H917556 JB917514:JD917556 SX917514:SZ917556 ACT917514:ACV917556 AMP917514:AMR917556 AWL917514:AWN917556 BGH917514:BGJ917556 BQD917514:BQF917556 BZZ917514:CAB917556 CJV917514:CJX917556 CTR917514:CTT917556 DDN917514:DDP917556 DNJ917514:DNL917556 DXF917514:DXH917556 EHB917514:EHD917556 EQX917514:EQZ917556 FAT917514:FAV917556 FKP917514:FKR917556 FUL917514:FUN917556 GEH917514:GEJ917556 GOD917514:GOF917556 GXZ917514:GYB917556 HHV917514:HHX917556 HRR917514:HRT917556 IBN917514:IBP917556 ILJ917514:ILL917556 IVF917514:IVH917556 JFB917514:JFD917556 JOX917514:JOZ917556 JYT917514:JYV917556 KIP917514:KIR917556 KSL917514:KSN917556 LCH917514:LCJ917556 LMD917514:LMF917556 LVZ917514:LWB917556 MFV917514:MFX917556 MPR917514:MPT917556 MZN917514:MZP917556 NJJ917514:NJL917556 NTF917514:NTH917556 ODB917514:ODD917556 OMX917514:OMZ917556 OWT917514:OWV917556 PGP917514:PGR917556 PQL917514:PQN917556 QAH917514:QAJ917556 QKD917514:QKF917556 QTZ917514:QUB917556 RDV917514:RDX917556 RNR917514:RNT917556 RXN917514:RXP917556 SHJ917514:SHL917556 SRF917514:SRH917556 TBB917514:TBD917556 TKX917514:TKZ917556 TUT917514:TUV917556 UEP917514:UER917556 UOL917514:UON917556 UYH917514:UYJ917556 VID917514:VIF917556 VRZ917514:VSB917556 WBV917514:WBX917556 WLR917514:WLT917556 WVN917514:WVP917556 F983050:H983092 JB983050:JD983092 SX983050:SZ983092 ACT983050:ACV983092 AMP983050:AMR983092 AWL983050:AWN983092 BGH983050:BGJ983092 BQD983050:BQF983092 BZZ983050:CAB983092 CJV983050:CJX983092 CTR983050:CTT983092 DDN983050:DDP983092 DNJ983050:DNL983092 DXF983050:DXH983092 EHB983050:EHD983092 EQX983050:EQZ983092 FAT983050:FAV983092 FKP983050:FKR983092 FUL983050:FUN983092 GEH983050:GEJ983092 GOD983050:GOF983092 GXZ983050:GYB983092 HHV983050:HHX983092 HRR983050:HRT983092 IBN983050:IBP983092 ILJ983050:ILL983092 IVF983050:IVH983092 JFB983050:JFD983092 JOX983050:JOZ983092 JYT983050:JYV983092 KIP983050:KIR983092 KSL983050:KSN983092 LCH983050:LCJ983092 LMD983050:LMF983092 LVZ983050:LWB983092 MFV983050:MFX983092 MPR983050:MPT983092 MZN983050:MZP983092 NJJ983050:NJL983092 NTF983050:NTH983092 ODB983050:ODD983092 OMX983050:OMZ983092 OWT983050:OWV983092 PGP983050:PGR983092 PQL983050:PQN983092 QAH983050:QAJ983092 QKD983050:QKF983092 QTZ983050:QUB983092 RDV983050:RDX983092 RNR983050:RNT983092 RXN983050:RXP983092 SHJ983050:SHL983092 SRF983050:SRH983092 TBB983050:TBD983092 TKX983050:TKZ983092 TUT983050:TUV983092 UEP983050:UER983092 UOL983050:UON983092 UYH983050:UYJ983092 VID983050:VIF983092 VRZ983050:VSB983092 WBV983050:WBX983092 WLR983050:WLT983092 WVN983050:WVP983092" xr:uid="{00000000-0002-0000-0B00-000000000000}">
      <formula1>0</formula1>
    </dataValidation>
    <dataValidation type="decimal" allowBlank="1" showInputMessage="1" showErrorMessage="1" error="Der Faktor muss zwischen 0 und 1 liegen" sqref="O59:O158 JK59:JK158 TG59:TG158 ADC59:ADC158 AMY59:AMY158 AWU59:AWU158 BGQ59:BGQ158 BQM59:BQM158 CAI59:CAI158 CKE59:CKE158 CUA59:CUA158 DDW59:DDW158 DNS59:DNS158 DXO59:DXO158 EHK59:EHK158 ERG59:ERG158 FBC59:FBC158 FKY59:FKY158 FUU59:FUU158 GEQ59:GEQ158 GOM59:GOM158 GYI59:GYI158 HIE59:HIE158 HSA59:HSA158 IBW59:IBW158 ILS59:ILS158 IVO59:IVO158 JFK59:JFK158 JPG59:JPG158 JZC59:JZC158 KIY59:KIY158 KSU59:KSU158 LCQ59:LCQ158 LMM59:LMM158 LWI59:LWI158 MGE59:MGE158 MQA59:MQA158 MZW59:MZW158 NJS59:NJS158 NTO59:NTO158 ODK59:ODK158 ONG59:ONG158 OXC59:OXC158 PGY59:PGY158 PQU59:PQU158 QAQ59:QAQ158 QKM59:QKM158 QUI59:QUI158 REE59:REE158 ROA59:ROA158 RXW59:RXW158 SHS59:SHS158 SRO59:SRO158 TBK59:TBK158 TLG59:TLG158 TVC59:TVC158 UEY59:UEY158 UOU59:UOU158 UYQ59:UYQ158 VIM59:VIM158 VSI59:VSI158 WCE59:WCE158 WMA59:WMA158 WVW59:WVW158 O65595:O65694 JK65595:JK65694 TG65595:TG65694 ADC65595:ADC65694 AMY65595:AMY65694 AWU65595:AWU65694 BGQ65595:BGQ65694 BQM65595:BQM65694 CAI65595:CAI65694 CKE65595:CKE65694 CUA65595:CUA65694 DDW65595:DDW65694 DNS65595:DNS65694 DXO65595:DXO65694 EHK65595:EHK65694 ERG65595:ERG65694 FBC65595:FBC65694 FKY65595:FKY65694 FUU65595:FUU65694 GEQ65595:GEQ65694 GOM65595:GOM65694 GYI65595:GYI65694 HIE65595:HIE65694 HSA65595:HSA65694 IBW65595:IBW65694 ILS65595:ILS65694 IVO65595:IVO65694 JFK65595:JFK65694 JPG65595:JPG65694 JZC65595:JZC65694 KIY65595:KIY65694 KSU65595:KSU65694 LCQ65595:LCQ65694 LMM65595:LMM65694 LWI65595:LWI65694 MGE65595:MGE65694 MQA65595:MQA65694 MZW65595:MZW65694 NJS65595:NJS65694 NTO65595:NTO65694 ODK65595:ODK65694 ONG65595:ONG65694 OXC65595:OXC65694 PGY65595:PGY65694 PQU65595:PQU65694 QAQ65595:QAQ65694 QKM65595:QKM65694 QUI65595:QUI65694 REE65595:REE65694 ROA65595:ROA65694 RXW65595:RXW65694 SHS65595:SHS65694 SRO65595:SRO65694 TBK65595:TBK65694 TLG65595:TLG65694 TVC65595:TVC65694 UEY65595:UEY65694 UOU65595:UOU65694 UYQ65595:UYQ65694 VIM65595:VIM65694 VSI65595:VSI65694 WCE65595:WCE65694 WMA65595:WMA65694 WVW65595:WVW65694 O131131:O131230 JK131131:JK131230 TG131131:TG131230 ADC131131:ADC131230 AMY131131:AMY131230 AWU131131:AWU131230 BGQ131131:BGQ131230 BQM131131:BQM131230 CAI131131:CAI131230 CKE131131:CKE131230 CUA131131:CUA131230 DDW131131:DDW131230 DNS131131:DNS131230 DXO131131:DXO131230 EHK131131:EHK131230 ERG131131:ERG131230 FBC131131:FBC131230 FKY131131:FKY131230 FUU131131:FUU131230 GEQ131131:GEQ131230 GOM131131:GOM131230 GYI131131:GYI131230 HIE131131:HIE131230 HSA131131:HSA131230 IBW131131:IBW131230 ILS131131:ILS131230 IVO131131:IVO131230 JFK131131:JFK131230 JPG131131:JPG131230 JZC131131:JZC131230 KIY131131:KIY131230 KSU131131:KSU131230 LCQ131131:LCQ131230 LMM131131:LMM131230 LWI131131:LWI131230 MGE131131:MGE131230 MQA131131:MQA131230 MZW131131:MZW131230 NJS131131:NJS131230 NTO131131:NTO131230 ODK131131:ODK131230 ONG131131:ONG131230 OXC131131:OXC131230 PGY131131:PGY131230 PQU131131:PQU131230 QAQ131131:QAQ131230 QKM131131:QKM131230 QUI131131:QUI131230 REE131131:REE131230 ROA131131:ROA131230 RXW131131:RXW131230 SHS131131:SHS131230 SRO131131:SRO131230 TBK131131:TBK131230 TLG131131:TLG131230 TVC131131:TVC131230 UEY131131:UEY131230 UOU131131:UOU131230 UYQ131131:UYQ131230 VIM131131:VIM131230 VSI131131:VSI131230 WCE131131:WCE131230 WMA131131:WMA131230 WVW131131:WVW131230 O196667:O196766 JK196667:JK196766 TG196667:TG196766 ADC196667:ADC196766 AMY196667:AMY196766 AWU196667:AWU196766 BGQ196667:BGQ196766 BQM196667:BQM196766 CAI196667:CAI196766 CKE196667:CKE196766 CUA196667:CUA196766 DDW196667:DDW196766 DNS196667:DNS196766 DXO196667:DXO196766 EHK196667:EHK196766 ERG196667:ERG196766 FBC196667:FBC196766 FKY196667:FKY196766 FUU196667:FUU196766 GEQ196667:GEQ196766 GOM196667:GOM196766 GYI196667:GYI196766 HIE196667:HIE196766 HSA196667:HSA196766 IBW196667:IBW196766 ILS196667:ILS196766 IVO196667:IVO196766 JFK196667:JFK196766 JPG196667:JPG196766 JZC196667:JZC196766 KIY196667:KIY196766 KSU196667:KSU196766 LCQ196667:LCQ196766 LMM196667:LMM196766 LWI196667:LWI196766 MGE196667:MGE196766 MQA196667:MQA196766 MZW196667:MZW196766 NJS196667:NJS196766 NTO196667:NTO196766 ODK196667:ODK196766 ONG196667:ONG196766 OXC196667:OXC196766 PGY196667:PGY196766 PQU196667:PQU196766 QAQ196667:QAQ196766 QKM196667:QKM196766 QUI196667:QUI196766 REE196667:REE196766 ROA196667:ROA196766 RXW196667:RXW196766 SHS196667:SHS196766 SRO196667:SRO196766 TBK196667:TBK196766 TLG196667:TLG196766 TVC196667:TVC196766 UEY196667:UEY196766 UOU196667:UOU196766 UYQ196667:UYQ196766 VIM196667:VIM196766 VSI196667:VSI196766 WCE196667:WCE196766 WMA196667:WMA196766 WVW196667:WVW196766 O262203:O262302 JK262203:JK262302 TG262203:TG262302 ADC262203:ADC262302 AMY262203:AMY262302 AWU262203:AWU262302 BGQ262203:BGQ262302 BQM262203:BQM262302 CAI262203:CAI262302 CKE262203:CKE262302 CUA262203:CUA262302 DDW262203:DDW262302 DNS262203:DNS262302 DXO262203:DXO262302 EHK262203:EHK262302 ERG262203:ERG262302 FBC262203:FBC262302 FKY262203:FKY262302 FUU262203:FUU262302 GEQ262203:GEQ262302 GOM262203:GOM262302 GYI262203:GYI262302 HIE262203:HIE262302 HSA262203:HSA262302 IBW262203:IBW262302 ILS262203:ILS262302 IVO262203:IVO262302 JFK262203:JFK262302 JPG262203:JPG262302 JZC262203:JZC262302 KIY262203:KIY262302 KSU262203:KSU262302 LCQ262203:LCQ262302 LMM262203:LMM262302 LWI262203:LWI262302 MGE262203:MGE262302 MQA262203:MQA262302 MZW262203:MZW262302 NJS262203:NJS262302 NTO262203:NTO262302 ODK262203:ODK262302 ONG262203:ONG262302 OXC262203:OXC262302 PGY262203:PGY262302 PQU262203:PQU262302 QAQ262203:QAQ262302 QKM262203:QKM262302 QUI262203:QUI262302 REE262203:REE262302 ROA262203:ROA262302 RXW262203:RXW262302 SHS262203:SHS262302 SRO262203:SRO262302 TBK262203:TBK262302 TLG262203:TLG262302 TVC262203:TVC262302 UEY262203:UEY262302 UOU262203:UOU262302 UYQ262203:UYQ262302 VIM262203:VIM262302 VSI262203:VSI262302 WCE262203:WCE262302 WMA262203:WMA262302 WVW262203:WVW262302 O327739:O327838 JK327739:JK327838 TG327739:TG327838 ADC327739:ADC327838 AMY327739:AMY327838 AWU327739:AWU327838 BGQ327739:BGQ327838 BQM327739:BQM327838 CAI327739:CAI327838 CKE327739:CKE327838 CUA327739:CUA327838 DDW327739:DDW327838 DNS327739:DNS327838 DXO327739:DXO327838 EHK327739:EHK327838 ERG327739:ERG327838 FBC327739:FBC327838 FKY327739:FKY327838 FUU327739:FUU327838 GEQ327739:GEQ327838 GOM327739:GOM327838 GYI327739:GYI327838 HIE327739:HIE327838 HSA327739:HSA327838 IBW327739:IBW327838 ILS327739:ILS327838 IVO327739:IVO327838 JFK327739:JFK327838 JPG327739:JPG327838 JZC327739:JZC327838 KIY327739:KIY327838 KSU327739:KSU327838 LCQ327739:LCQ327838 LMM327739:LMM327838 LWI327739:LWI327838 MGE327739:MGE327838 MQA327739:MQA327838 MZW327739:MZW327838 NJS327739:NJS327838 NTO327739:NTO327838 ODK327739:ODK327838 ONG327739:ONG327838 OXC327739:OXC327838 PGY327739:PGY327838 PQU327739:PQU327838 QAQ327739:QAQ327838 QKM327739:QKM327838 QUI327739:QUI327838 REE327739:REE327838 ROA327739:ROA327838 RXW327739:RXW327838 SHS327739:SHS327838 SRO327739:SRO327838 TBK327739:TBK327838 TLG327739:TLG327838 TVC327739:TVC327838 UEY327739:UEY327838 UOU327739:UOU327838 UYQ327739:UYQ327838 VIM327739:VIM327838 VSI327739:VSI327838 WCE327739:WCE327838 WMA327739:WMA327838 WVW327739:WVW327838 O393275:O393374 JK393275:JK393374 TG393275:TG393374 ADC393275:ADC393374 AMY393275:AMY393374 AWU393275:AWU393374 BGQ393275:BGQ393374 BQM393275:BQM393374 CAI393275:CAI393374 CKE393275:CKE393374 CUA393275:CUA393374 DDW393275:DDW393374 DNS393275:DNS393374 DXO393275:DXO393374 EHK393275:EHK393374 ERG393275:ERG393374 FBC393275:FBC393374 FKY393275:FKY393374 FUU393275:FUU393374 GEQ393275:GEQ393374 GOM393275:GOM393374 GYI393275:GYI393374 HIE393275:HIE393374 HSA393275:HSA393374 IBW393275:IBW393374 ILS393275:ILS393374 IVO393275:IVO393374 JFK393275:JFK393374 JPG393275:JPG393374 JZC393275:JZC393374 KIY393275:KIY393374 KSU393275:KSU393374 LCQ393275:LCQ393374 LMM393275:LMM393374 LWI393275:LWI393374 MGE393275:MGE393374 MQA393275:MQA393374 MZW393275:MZW393374 NJS393275:NJS393374 NTO393275:NTO393374 ODK393275:ODK393374 ONG393275:ONG393374 OXC393275:OXC393374 PGY393275:PGY393374 PQU393275:PQU393374 QAQ393275:QAQ393374 QKM393275:QKM393374 QUI393275:QUI393374 REE393275:REE393374 ROA393275:ROA393374 RXW393275:RXW393374 SHS393275:SHS393374 SRO393275:SRO393374 TBK393275:TBK393374 TLG393275:TLG393374 TVC393275:TVC393374 UEY393275:UEY393374 UOU393275:UOU393374 UYQ393275:UYQ393374 VIM393275:VIM393374 VSI393275:VSI393374 WCE393275:WCE393374 WMA393275:WMA393374 WVW393275:WVW393374 O458811:O458910 JK458811:JK458910 TG458811:TG458910 ADC458811:ADC458910 AMY458811:AMY458910 AWU458811:AWU458910 BGQ458811:BGQ458910 BQM458811:BQM458910 CAI458811:CAI458910 CKE458811:CKE458910 CUA458811:CUA458910 DDW458811:DDW458910 DNS458811:DNS458910 DXO458811:DXO458910 EHK458811:EHK458910 ERG458811:ERG458910 FBC458811:FBC458910 FKY458811:FKY458910 FUU458811:FUU458910 GEQ458811:GEQ458910 GOM458811:GOM458910 GYI458811:GYI458910 HIE458811:HIE458910 HSA458811:HSA458910 IBW458811:IBW458910 ILS458811:ILS458910 IVO458811:IVO458910 JFK458811:JFK458910 JPG458811:JPG458910 JZC458811:JZC458910 KIY458811:KIY458910 KSU458811:KSU458910 LCQ458811:LCQ458910 LMM458811:LMM458910 LWI458811:LWI458910 MGE458811:MGE458910 MQA458811:MQA458910 MZW458811:MZW458910 NJS458811:NJS458910 NTO458811:NTO458910 ODK458811:ODK458910 ONG458811:ONG458910 OXC458811:OXC458910 PGY458811:PGY458910 PQU458811:PQU458910 QAQ458811:QAQ458910 QKM458811:QKM458910 QUI458811:QUI458910 REE458811:REE458910 ROA458811:ROA458910 RXW458811:RXW458910 SHS458811:SHS458910 SRO458811:SRO458910 TBK458811:TBK458910 TLG458811:TLG458910 TVC458811:TVC458910 UEY458811:UEY458910 UOU458811:UOU458910 UYQ458811:UYQ458910 VIM458811:VIM458910 VSI458811:VSI458910 WCE458811:WCE458910 WMA458811:WMA458910 WVW458811:WVW458910 O524347:O524446 JK524347:JK524446 TG524347:TG524446 ADC524347:ADC524446 AMY524347:AMY524446 AWU524347:AWU524446 BGQ524347:BGQ524446 BQM524347:BQM524446 CAI524347:CAI524446 CKE524347:CKE524446 CUA524347:CUA524446 DDW524347:DDW524446 DNS524347:DNS524446 DXO524347:DXO524446 EHK524347:EHK524446 ERG524347:ERG524446 FBC524347:FBC524446 FKY524347:FKY524446 FUU524347:FUU524446 GEQ524347:GEQ524446 GOM524347:GOM524446 GYI524347:GYI524446 HIE524347:HIE524446 HSA524347:HSA524446 IBW524347:IBW524446 ILS524347:ILS524446 IVO524347:IVO524446 JFK524347:JFK524446 JPG524347:JPG524446 JZC524347:JZC524446 KIY524347:KIY524446 KSU524347:KSU524446 LCQ524347:LCQ524446 LMM524347:LMM524446 LWI524347:LWI524446 MGE524347:MGE524446 MQA524347:MQA524446 MZW524347:MZW524446 NJS524347:NJS524446 NTO524347:NTO524446 ODK524347:ODK524446 ONG524347:ONG524446 OXC524347:OXC524446 PGY524347:PGY524446 PQU524347:PQU524446 QAQ524347:QAQ524446 QKM524347:QKM524446 QUI524347:QUI524446 REE524347:REE524446 ROA524347:ROA524446 RXW524347:RXW524446 SHS524347:SHS524446 SRO524347:SRO524446 TBK524347:TBK524446 TLG524347:TLG524446 TVC524347:TVC524446 UEY524347:UEY524446 UOU524347:UOU524446 UYQ524347:UYQ524446 VIM524347:VIM524446 VSI524347:VSI524446 WCE524347:WCE524446 WMA524347:WMA524446 WVW524347:WVW524446 O589883:O589982 JK589883:JK589982 TG589883:TG589982 ADC589883:ADC589982 AMY589883:AMY589982 AWU589883:AWU589982 BGQ589883:BGQ589982 BQM589883:BQM589982 CAI589883:CAI589982 CKE589883:CKE589982 CUA589883:CUA589982 DDW589883:DDW589982 DNS589883:DNS589982 DXO589883:DXO589982 EHK589883:EHK589982 ERG589883:ERG589982 FBC589883:FBC589982 FKY589883:FKY589982 FUU589883:FUU589982 GEQ589883:GEQ589982 GOM589883:GOM589982 GYI589883:GYI589982 HIE589883:HIE589982 HSA589883:HSA589982 IBW589883:IBW589982 ILS589883:ILS589982 IVO589883:IVO589982 JFK589883:JFK589982 JPG589883:JPG589982 JZC589883:JZC589982 KIY589883:KIY589982 KSU589883:KSU589982 LCQ589883:LCQ589982 LMM589883:LMM589982 LWI589883:LWI589982 MGE589883:MGE589982 MQA589883:MQA589982 MZW589883:MZW589982 NJS589883:NJS589982 NTO589883:NTO589982 ODK589883:ODK589982 ONG589883:ONG589982 OXC589883:OXC589982 PGY589883:PGY589982 PQU589883:PQU589982 QAQ589883:QAQ589982 QKM589883:QKM589982 QUI589883:QUI589982 REE589883:REE589982 ROA589883:ROA589982 RXW589883:RXW589982 SHS589883:SHS589982 SRO589883:SRO589982 TBK589883:TBK589982 TLG589883:TLG589982 TVC589883:TVC589982 UEY589883:UEY589982 UOU589883:UOU589982 UYQ589883:UYQ589982 VIM589883:VIM589982 VSI589883:VSI589982 WCE589883:WCE589982 WMA589883:WMA589982 WVW589883:WVW589982 O655419:O655518 JK655419:JK655518 TG655419:TG655518 ADC655419:ADC655518 AMY655419:AMY655518 AWU655419:AWU655518 BGQ655419:BGQ655518 BQM655419:BQM655518 CAI655419:CAI655518 CKE655419:CKE655518 CUA655419:CUA655518 DDW655419:DDW655518 DNS655419:DNS655518 DXO655419:DXO655518 EHK655419:EHK655518 ERG655419:ERG655518 FBC655419:FBC655518 FKY655419:FKY655518 FUU655419:FUU655518 GEQ655419:GEQ655518 GOM655419:GOM655518 GYI655419:GYI655518 HIE655419:HIE655518 HSA655419:HSA655518 IBW655419:IBW655518 ILS655419:ILS655518 IVO655419:IVO655518 JFK655419:JFK655518 JPG655419:JPG655518 JZC655419:JZC655518 KIY655419:KIY655518 KSU655419:KSU655518 LCQ655419:LCQ655518 LMM655419:LMM655518 LWI655419:LWI655518 MGE655419:MGE655518 MQA655419:MQA655518 MZW655419:MZW655518 NJS655419:NJS655518 NTO655419:NTO655518 ODK655419:ODK655518 ONG655419:ONG655518 OXC655419:OXC655518 PGY655419:PGY655518 PQU655419:PQU655518 QAQ655419:QAQ655518 QKM655419:QKM655518 QUI655419:QUI655518 REE655419:REE655518 ROA655419:ROA655518 RXW655419:RXW655518 SHS655419:SHS655518 SRO655419:SRO655518 TBK655419:TBK655518 TLG655419:TLG655518 TVC655419:TVC655518 UEY655419:UEY655518 UOU655419:UOU655518 UYQ655419:UYQ655518 VIM655419:VIM655518 VSI655419:VSI655518 WCE655419:WCE655518 WMA655419:WMA655518 WVW655419:WVW655518 O720955:O721054 JK720955:JK721054 TG720955:TG721054 ADC720955:ADC721054 AMY720955:AMY721054 AWU720955:AWU721054 BGQ720955:BGQ721054 BQM720955:BQM721054 CAI720955:CAI721054 CKE720955:CKE721054 CUA720955:CUA721054 DDW720955:DDW721054 DNS720955:DNS721054 DXO720955:DXO721054 EHK720955:EHK721054 ERG720955:ERG721054 FBC720955:FBC721054 FKY720955:FKY721054 FUU720955:FUU721054 GEQ720955:GEQ721054 GOM720955:GOM721054 GYI720955:GYI721054 HIE720955:HIE721054 HSA720955:HSA721054 IBW720955:IBW721054 ILS720955:ILS721054 IVO720955:IVO721054 JFK720955:JFK721054 JPG720955:JPG721054 JZC720955:JZC721054 KIY720955:KIY721054 KSU720955:KSU721054 LCQ720955:LCQ721054 LMM720955:LMM721054 LWI720955:LWI721054 MGE720955:MGE721054 MQA720955:MQA721054 MZW720955:MZW721054 NJS720955:NJS721054 NTO720955:NTO721054 ODK720955:ODK721054 ONG720955:ONG721054 OXC720955:OXC721054 PGY720955:PGY721054 PQU720955:PQU721054 QAQ720955:QAQ721054 QKM720955:QKM721054 QUI720955:QUI721054 REE720955:REE721054 ROA720955:ROA721054 RXW720955:RXW721054 SHS720955:SHS721054 SRO720955:SRO721054 TBK720955:TBK721054 TLG720955:TLG721054 TVC720955:TVC721054 UEY720955:UEY721054 UOU720955:UOU721054 UYQ720955:UYQ721054 VIM720955:VIM721054 VSI720955:VSI721054 WCE720955:WCE721054 WMA720955:WMA721054 WVW720955:WVW721054 O786491:O786590 JK786491:JK786590 TG786491:TG786590 ADC786491:ADC786590 AMY786491:AMY786590 AWU786491:AWU786590 BGQ786491:BGQ786590 BQM786491:BQM786590 CAI786491:CAI786590 CKE786491:CKE786590 CUA786491:CUA786590 DDW786491:DDW786590 DNS786491:DNS786590 DXO786491:DXO786590 EHK786491:EHK786590 ERG786491:ERG786590 FBC786491:FBC786590 FKY786491:FKY786590 FUU786491:FUU786590 GEQ786491:GEQ786590 GOM786491:GOM786590 GYI786491:GYI786590 HIE786491:HIE786590 HSA786491:HSA786590 IBW786491:IBW786590 ILS786491:ILS786590 IVO786491:IVO786590 JFK786491:JFK786590 JPG786491:JPG786590 JZC786491:JZC786590 KIY786491:KIY786590 KSU786491:KSU786590 LCQ786491:LCQ786590 LMM786491:LMM786590 LWI786491:LWI786590 MGE786491:MGE786590 MQA786491:MQA786590 MZW786491:MZW786590 NJS786491:NJS786590 NTO786491:NTO786590 ODK786491:ODK786590 ONG786491:ONG786590 OXC786491:OXC786590 PGY786491:PGY786590 PQU786491:PQU786590 QAQ786491:QAQ786590 QKM786491:QKM786590 QUI786491:QUI786590 REE786491:REE786590 ROA786491:ROA786590 RXW786491:RXW786590 SHS786491:SHS786590 SRO786491:SRO786590 TBK786491:TBK786590 TLG786491:TLG786590 TVC786491:TVC786590 UEY786491:UEY786590 UOU786491:UOU786590 UYQ786491:UYQ786590 VIM786491:VIM786590 VSI786491:VSI786590 WCE786491:WCE786590 WMA786491:WMA786590 WVW786491:WVW786590 O852027:O852126 JK852027:JK852126 TG852027:TG852126 ADC852027:ADC852126 AMY852027:AMY852126 AWU852027:AWU852126 BGQ852027:BGQ852126 BQM852027:BQM852126 CAI852027:CAI852126 CKE852027:CKE852126 CUA852027:CUA852126 DDW852027:DDW852126 DNS852027:DNS852126 DXO852027:DXO852126 EHK852027:EHK852126 ERG852027:ERG852126 FBC852027:FBC852126 FKY852027:FKY852126 FUU852027:FUU852126 GEQ852027:GEQ852126 GOM852027:GOM852126 GYI852027:GYI852126 HIE852027:HIE852126 HSA852027:HSA852126 IBW852027:IBW852126 ILS852027:ILS852126 IVO852027:IVO852126 JFK852027:JFK852126 JPG852027:JPG852126 JZC852027:JZC852126 KIY852027:KIY852126 KSU852027:KSU852126 LCQ852027:LCQ852126 LMM852027:LMM852126 LWI852027:LWI852126 MGE852027:MGE852126 MQA852027:MQA852126 MZW852027:MZW852126 NJS852027:NJS852126 NTO852027:NTO852126 ODK852027:ODK852126 ONG852027:ONG852126 OXC852027:OXC852126 PGY852027:PGY852126 PQU852027:PQU852126 QAQ852027:QAQ852126 QKM852027:QKM852126 QUI852027:QUI852126 REE852027:REE852126 ROA852027:ROA852126 RXW852027:RXW852126 SHS852027:SHS852126 SRO852027:SRO852126 TBK852027:TBK852126 TLG852027:TLG852126 TVC852027:TVC852126 UEY852027:UEY852126 UOU852027:UOU852126 UYQ852027:UYQ852126 VIM852027:VIM852126 VSI852027:VSI852126 WCE852027:WCE852126 WMA852027:WMA852126 WVW852027:WVW852126 O917563:O917662 JK917563:JK917662 TG917563:TG917662 ADC917563:ADC917662 AMY917563:AMY917662 AWU917563:AWU917662 BGQ917563:BGQ917662 BQM917563:BQM917662 CAI917563:CAI917662 CKE917563:CKE917662 CUA917563:CUA917662 DDW917563:DDW917662 DNS917563:DNS917662 DXO917563:DXO917662 EHK917563:EHK917662 ERG917563:ERG917662 FBC917563:FBC917662 FKY917563:FKY917662 FUU917563:FUU917662 GEQ917563:GEQ917662 GOM917563:GOM917662 GYI917563:GYI917662 HIE917563:HIE917662 HSA917563:HSA917662 IBW917563:IBW917662 ILS917563:ILS917662 IVO917563:IVO917662 JFK917563:JFK917662 JPG917563:JPG917662 JZC917563:JZC917662 KIY917563:KIY917662 KSU917563:KSU917662 LCQ917563:LCQ917662 LMM917563:LMM917662 LWI917563:LWI917662 MGE917563:MGE917662 MQA917563:MQA917662 MZW917563:MZW917662 NJS917563:NJS917662 NTO917563:NTO917662 ODK917563:ODK917662 ONG917563:ONG917662 OXC917563:OXC917662 PGY917563:PGY917662 PQU917563:PQU917662 QAQ917563:QAQ917662 QKM917563:QKM917662 QUI917563:QUI917662 REE917563:REE917662 ROA917563:ROA917662 RXW917563:RXW917662 SHS917563:SHS917662 SRO917563:SRO917662 TBK917563:TBK917662 TLG917563:TLG917662 TVC917563:TVC917662 UEY917563:UEY917662 UOU917563:UOU917662 UYQ917563:UYQ917662 VIM917563:VIM917662 VSI917563:VSI917662 WCE917563:WCE917662 WMA917563:WMA917662 WVW917563:WVW917662 O983099:O983198 JK983099:JK983198 TG983099:TG983198 ADC983099:ADC983198 AMY983099:AMY983198 AWU983099:AWU983198 BGQ983099:BGQ983198 BQM983099:BQM983198 CAI983099:CAI983198 CKE983099:CKE983198 CUA983099:CUA983198 DDW983099:DDW983198 DNS983099:DNS983198 DXO983099:DXO983198 EHK983099:EHK983198 ERG983099:ERG983198 FBC983099:FBC983198 FKY983099:FKY983198 FUU983099:FUU983198 GEQ983099:GEQ983198 GOM983099:GOM983198 GYI983099:GYI983198 HIE983099:HIE983198 HSA983099:HSA983198 IBW983099:IBW983198 ILS983099:ILS983198 IVO983099:IVO983198 JFK983099:JFK983198 JPG983099:JPG983198 JZC983099:JZC983198 KIY983099:KIY983198 KSU983099:KSU983198 LCQ983099:LCQ983198 LMM983099:LMM983198 LWI983099:LWI983198 MGE983099:MGE983198 MQA983099:MQA983198 MZW983099:MZW983198 NJS983099:NJS983198 NTO983099:NTO983198 ODK983099:ODK983198 ONG983099:ONG983198 OXC983099:OXC983198 PGY983099:PGY983198 PQU983099:PQU983198 QAQ983099:QAQ983198 QKM983099:QKM983198 QUI983099:QUI983198 REE983099:REE983198 ROA983099:ROA983198 RXW983099:RXW983198 SHS983099:SHS983198 SRO983099:SRO983198 TBK983099:TBK983198 TLG983099:TLG983198 TVC983099:TVC983198 UEY983099:UEY983198 UOU983099:UOU983198 UYQ983099:UYQ983198 VIM983099:VIM983198 VSI983099:VSI983198 WCE983099:WCE983198 WMA983099:WMA983198 WVW983099:WVW983198 R59:R158 JN59:JN158 TJ59:TJ158 ADF59:ADF158 ANB59:ANB158 AWX59:AWX158 BGT59:BGT158 BQP59:BQP158 CAL59:CAL158 CKH59:CKH158 CUD59:CUD158 DDZ59:DDZ158 DNV59:DNV158 DXR59:DXR158 EHN59:EHN158 ERJ59:ERJ158 FBF59:FBF158 FLB59:FLB158 FUX59:FUX158 GET59:GET158 GOP59:GOP158 GYL59:GYL158 HIH59:HIH158 HSD59:HSD158 IBZ59:IBZ158 ILV59:ILV158 IVR59:IVR158 JFN59:JFN158 JPJ59:JPJ158 JZF59:JZF158 KJB59:KJB158 KSX59:KSX158 LCT59:LCT158 LMP59:LMP158 LWL59:LWL158 MGH59:MGH158 MQD59:MQD158 MZZ59:MZZ158 NJV59:NJV158 NTR59:NTR158 ODN59:ODN158 ONJ59:ONJ158 OXF59:OXF158 PHB59:PHB158 PQX59:PQX158 QAT59:QAT158 QKP59:QKP158 QUL59:QUL158 REH59:REH158 ROD59:ROD158 RXZ59:RXZ158 SHV59:SHV158 SRR59:SRR158 TBN59:TBN158 TLJ59:TLJ158 TVF59:TVF158 UFB59:UFB158 UOX59:UOX158 UYT59:UYT158 VIP59:VIP158 VSL59:VSL158 WCH59:WCH158 WMD59:WMD158 WVZ59:WVZ158 R65595:R65694 JN65595:JN65694 TJ65595:TJ65694 ADF65595:ADF65694 ANB65595:ANB65694 AWX65595:AWX65694 BGT65595:BGT65694 BQP65595:BQP65694 CAL65595:CAL65694 CKH65595:CKH65694 CUD65595:CUD65694 DDZ65595:DDZ65694 DNV65595:DNV65694 DXR65595:DXR65694 EHN65595:EHN65694 ERJ65595:ERJ65694 FBF65595:FBF65694 FLB65595:FLB65694 FUX65595:FUX65694 GET65595:GET65694 GOP65595:GOP65694 GYL65595:GYL65694 HIH65595:HIH65694 HSD65595:HSD65694 IBZ65595:IBZ65694 ILV65595:ILV65694 IVR65595:IVR65694 JFN65595:JFN65694 JPJ65595:JPJ65694 JZF65595:JZF65694 KJB65595:KJB65694 KSX65595:KSX65694 LCT65595:LCT65694 LMP65595:LMP65694 LWL65595:LWL65694 MGH65595:MGH65694 MQD65595:MQD65694 MZZ65595:MZZ65694 NJV65595:NJV65694 NTR65595:NTR65694 ODN65595:ODN65694 ONJ65595:ONJ65694 OXF65595:OXF65694 PHB65595:PHB65694 PQX65595:PQX65694 QAT65595:QAT65694 QKP65595:QKP65694 QUL65595:QUL65694 REH65595:REH65694 ROD65595:ROD65694 RXZ65595:RXZ65694 SHV65595:SHV65694 SRR65595:SRR65694 TBN65595:TBN65694 TLJ65595:TLJ65694 TVF65595:TVF65694 UFB65595:UFB65694 UOX65595:UOX65694 UYT65595:UYT65694 VIP65595:VIP65694 VSL65595:VSL65694 WCH65595:WCH65694 WMD65595:WMD65694 WVZ65595:WVZ65694 R131131:R131230 JN131131:JN131230 TJ131131:TJ131230 ADF131131:ADF131230 ANB131131:ANB131230 AWX131131:AWX131230 BGT131131:BGT131230 BQP131131:BQP131230 CAL131131:CAL131230 CKH131131:CKH131230 CUD131131:CUD131230 DDZ131131:DDZ131230 DNV131131:DNV131230 DXR131131:DXR131230 EHN131131:EHN131230 ERJ131131:ERJ131230 FBF131131:FBF131230 FLB131131:FLB131230 FUX131131:FUX131230 GET131131:GET131230 GOP131131:GOP131230 GYL131131:GYL131230 HIH131131:HIH131230 HSD131131:HSD131230 IBZ131131:IBZ131230 ILV131131:ILV131230 IVR131131:IVR131230 JFN131131:JFN131230 JPJ131131:JPJ131230 JZF131131:JZF131230 KJB131131:KJB131230 KSX131131:KSX131230 LCT131131:LCT131230 LMP131131:LMP131230 LWL131131:LWL131230 MGH131131:MGH131230 MQD131131:MQD131230 MZZ131131:MZZ131230 NJV131131:NJV131230 NTR131131:NTR131230 ODN131131:ODN131230 ONJ131131:ONJ131230 OXF131131:OXF131230 PHB131131:PHB131230 PQX131131:PQX131230 QAT131131:QAT131230 QKP131131:QKP131230 QUL131131:QUL131230 REH131131:REH131230 ROD131131:ROD131230 RXZ131131:RXZ131230 SHV131131:SHV131230 SRR131131:SRR131230 TBN131131:TBN131230 TLJ131131:TLJ131230 TVF131131:TVF131230 UFB131131:UFB131230 UOX131131:UOX131230 UYT131131:UYT131230 VIP131131:VIP131230 VSL131131:VSL131230 WCH131131:WCH131230 WMD131131:WMD131230 WVZ131131:WVZ131230 R196667:R196766 JN196667:JN196766 TJ196667:TJ196766 ADF196667:ADF196766 ANB196667:ANB196766 AWX196667:AWX196766 BGT196667:BGT196766 BQP196667:BQP196766 CAL196667:CAL196766 CKH196667:CKH196766 CUD196667:CUD196766 DDZ196667:DDZ196766 DNV196667:DNV196766 DXR196667:DXR196766 EHN196667:EHN196766 ERJ196667:ERJ196766 FBF196667:FBF196766 FLB196667:FLB196766 FUX196667:FUX196766 GET196667:GET196766 GOP196667:GOP196766 GYL196667:GYL196766 HIH196667:HIH196766 HSD196667:HSD196766 IBZ196667:IBZ196766 ILV196667:ILV196766 IVR196667:IVR196766 JFN196667:JFN196766 JPJ196667:JPJ196766 JZF196667:JZF196766 KJB196667:KJB196766 KSX196667:KSX196766 LCT196667:LCT196766 LMP196667:LMP196766 LWL196667:LWL196766 MGH196667:MGH196766 MQD196667:MQD196766 MZZ196667:MZZ196766 NJV196667:NJV196766 NTR196667:NTR196766 ODN196667:ODN196766 ONJ196667:ONJ196766 OXF196667:OXF196766 PHB196667:PHB196766 PQX196667:PQX196766 QAT196667:QAT196766 QKP196667:QKP196766 QUL196667:QUL196766 REH196667:REH196766 ROD196667:ROD196766 RXZ196667:RXZ196766 SHV196667:SHV196766 SRR196667:SRR196766 TBN196667:TBN196766 TLJ196667:TLJ196766 TVF196667:TVF196766 UFB196667:UFB196766 UOX196667:UOX196766 UYT196667:UYT196766 VIP196667:VIP196766 VSL196667:VSL196766 WCH196667:WCH196766 WMD196667:WMD196766 WVZ196667:WVZ196766 R262203:R262302 JN262203:JN262302 TJ262203:TJ262302 ADF262203:ADF262302 ANB262203:ANB262302 AWX262203:AWX262302 BGT262203:BGT262302 BQP262203:BQP262302 CAL262203:CAL262302 CKH262203:CKH262302 CUD262203:CUD262302 DDZ262203:DDZ262302 DNV262203:DNV262302 DXR262203:DXR262302 EHN262203:EHN262302 ERJ262203:ERJ262302 FBF262203:FBF262302 FLB262203:FLB262302 FUX262203:FUX262302 GET262203:GET262302 GOP262203:GOP262302 GYL262203:GYL262302 HIH262203:HIH262302 HSD262203:HSD262302 IBZ262203:IBZ262302 ILV262203:ILV262302 IVR262203:IVR262302 JFN262203:JFN262302 JPJ262203:JPJ262302 JZF262203:JZF262302 KJB262203:KJB262302 KSX262203:KSX262302 LCT262203:LCT262302 LMP262203:LMP262302 LWL262203:LWL262302 MGH262203:MGH262302 MQD262203:MQD262302 MZZ262203:MZZ262302 NJV262203:NJV262302 NTR262203:NTR262302 ODN262203:ODN262302 ONJ262203:ONJ262302 OXF262203:OXF262302 PHB262203:PHB262302 PQX262203:PQX262302 QAT262203:QAT262302 QKP262203:QKP262302 QUL262203:QUL262302 REH262203:REH262302 ROD262203:ROD262302 RXZ262203:RXZ262302 SHV262203:SHV262302 SRR262203:SRR262302 TBN262203:TBN262302 TLJ262203:TLJ262302 TVF262203:TVF262302 UFB262203:UFB262302 UOX262203:UOX262302 UYT262203:UYT262302 VIP262203:VIP262302 VSL262203:VSL262302 WCH262203:WCH262302 WMD262203:WMD262302 WVZ262203:WVZ262302 R327739:R327838 JN327739:JN327838 TJ327739:TJ327838 ADF327739:ADF327838 ANB327739:ANB327838 AWX327739:AWX327838 BGT327739:BGT327838 BQP327739:BQP327838 CAL327739:CAL327838 CKH327739:CKH327838 CUD327739:CUD327838 DDZ327739:DDZ327838 DNV327739:DNV327838 DXR327739:DXR327838 EHN327739:EHN327838 ERJ327739:ERJ327838 FBF327739:FBF327838 FLB327739:FLB327838 FUX327739:FUX327838 GET327739:GET327838 GOP327739:GOP327838 GYL327739:GYL327838 HIH327739:HIH327838 HSD327739:HSD327838 IBZ327739:IBZ327838 ILV327739:ILV327838 IVR327739:IVR327838 JFN327739:JFN327838 JPJ327739:JPJ327838 JZF327739:JZF327838 KJB327739:KJB327838 KSX327739:KSX327838 LCT327739:LCT327838 LMP327739:LMP327838 LWL327739:LWL327838 MGH327739:MGH327838 MQD327739:MQD327838 MZZ327739:MZZ327838 NJV327739:NJV327838 NTR327739:NTR327838 ODN327739:ODN327838 ONJ327739:ONJ327838 OXF327739:OXF327838 PHB327739:PHB327838 PQX327739:PQX327838 QAT327739:QAT327838 QKP327739:QKP327838 QUL327739:QUL327838 REH327739:REH327838 ROD327739:ROD327838 RXZ327739:RXZ327838 SHV327739:SHV327838 SRR327739:SRR327838 TBN327739:TBN327838 TLJ327739:TLJ327838 TVF327739:TVF327838 UFB327739:UFB327838 UOX327739:UOX327838 UYT327739:UYT327838 VIP327739:VIP327838 VSL327739:VSL327838 WCH327739:WCH327838 WMD327739:WMD327838 WVZ327739:WVZ327838 R393275:R393374 JN393275:JN393374 TJ393275:TJ393374 ADF393275:ADF393374 ANB393275:ANB393374 AWX393275:AWX393374 BGT393275:BGT393374 BQP393275:BQP393374 CAL393275:CAL393374 CKH393275:CKH393374 CUD393275:CUD393374 DDZ393275:DDZ393374 DNV393275:DNV393374 DXR393275:DXR393374 EHN393275:EHN393374 ERJ393275:ERJ393374 FBF393275:FBF393374 FLB393275:FLB393374 FUX393275:FUX393374 GET393275:GET393374 GOP393275:GOP393374 GYL393275:GYL393374 HIH393275:HIH393374 HSD393275:HSD393374 IBZ393275:IBZ393374 ILV393275:ILV393374 IVR393275:IVR393374 JFN393275:JFN393374 JPJ393275:JPJ393374 JZF393275:JZF393374 KJB393275:KJB393374 KSX393275:KSX393374 LCT393275:LCT393374 LMP393275:LMP393374 LWL393275:LWL393374 MGH393275:MGH393374 MQD393275:MQD393374 MZZ393275:MZZ393374 NJV393275:NJV393374 NTR393275:NTR393374 ODN393275:ODN393374 ONJ393275:ONJ393374 OXF393275:OXF393374 PHB393275:PHB393374 PQX393275:PQX393374 QAT393275:QAT393374 QKP393275:QKP393374 QUL393275:QUL393374 REH393275:REH393374 ROD393275:ROD393374 RXZ393275:RXZ393374 SHV393275:SHV393374 SRR393275:SRR393374 TBN393275:TBN393374 TLJ393275:TLJ393374 TVF393275:TVF393374 UFB393275:UFB393374 UOX393275:UOX393374 UYT393275:UYT393374 VIP393275:VIP393374 VSL393275:VSL393374 WCH393275:WCH393374 WMD393275:WMD393374 WVZ393275:WVZ393374 R458811:R458910 JN458811:JN458910 TJ458811:TJ458910 ADF458811:ADF458910 ANB458811:ANB458910 AWX458811:AWX458910 BGT458811:BGT458910 BQP458811:BQP458910 CAL458811:CAL458910 CKH458811:CKH458910 CUD458811:CUD458910 DDZ458811:DDZ458910 DNV458811:DNV458910 DXR458811:DXR458910 EHN458811:EHN458910 ERJ458811:ERJ458910 FBF458811:FBF458910 FLB458811:FLB458910 FUX458811:FUX458910 GET458811:GET458910 GOP458811:GOP458910 GYL458811:GYL458910 HIH458811:HIH458910 HSD458811:HSD458910 IBZ458811:IBZ458910 ILV458811:ILV458910 IVR458811:IVR458910 JFN458811:JFN458910 JPJ458811:JPJ458910 JZF458811:JZF458910 KJB458811:KJB458910 KSX458811:KSX458910 LCT458811:LCT458910 LMP458811:LMP458910 LWL458811:LWL458910 MGH458811:MGH458910 MQD458811:MQD458910 MZZ458811:MZZ458910 NJV458811:NJV458910 NTR458811:NTR458910 ODN458811:ODN458910 ONJ458811:ONJ458910 OXF458811:OXF458910 PHB458811:PHB458910 PQX458811:PQX458910 QAT458811:QAT458910 QKP458811:QKP458910 QUL458811:QUL458910 REH458811:REH458910 ROD458811:ROD458910 RXZ458811:RXZ458910 SHV458811:SHV458910 SRR458811:SRR458910 TBN458811:TBN458910 TLJ458811:TLJ458910 TVF458811:TVF458910 UFB458811:UFB458910 UOX458811:UOX458910 UYT458811:UYT458910 VIP458811:VIP458910 VSL458811:VSL458910 WCH458811:WCH458910 WMD458811:WMD458910 WVZ458811:WVZ458910 R524347:R524446 JN524347:JN524446 TJ524347:TJ524446 ADF524347:ADF524446 ANB524347:ANB524446 AWX524347:AWX524446 BGT524347:BGT524446 BQP524347:BQP524446 CAL524347:CAL524446 CKH524347:CKH524446 CUD524347:CUD524446 DDZ524347:DDZ524446 DNV524347:DNV524446 DXR524347:DXR524446 EHN524347:EHN524446 ERJ524347:ERJ524446 FBF524347:FBF524446 FLB524347:FLB524446 FUX524347:FUX524446 GET524347:GET524446 GOP524347:GOP524446 GYL524347:GYL524446 HIH524347:HIH524446 HSD524347:HSD524446 IBZ524347:IBZ524446 ILV524347:ILV524446 IVR524347:IVR524446 JFN524347:JFN524446 JPJ524347:JPJ524446 JZF524347:JZF524446 KJB524347:KJB524446 KSX524347:KSX524446 LCT524347:LCT524446 LMP524347:LMP524446 LWL524347:LWL524446 MGH524347:MGH524446 MQD524347:MQD524446 MZZ524347:MZZ524446 NJV524347:NJV524446 NTR524347:NTR524446 ODN524347:ODN524446 ONJ524347:ONJ524446 OXF524347:OXF524446 PHB524347:PHB524446 PQX524347:PQX524446 QAT524347:QAT524446 QKP524347:QKP524446 QUL524347:QUL524446 REH524347:REH524446 ROD524347:ROD524446 RXZ524347:RXZ524446 SHV524347:SHV524446 SRR524347:SRR524446 TBN524347:TBN524446 TLJ524347:TLJ524446 TVF524347:TVF524446 UFB524347:UFB524446 UOX524347:UOX524446 UYT524347:UYT524446 VIP524347:VIP524446 VSL524347:VSL524446 WCH524347:WCH524446 WMD524347:WMD524446 WVZ524347:WVZ524446 R589883:R589982 JN589883:JN589982 TJ589883:TJ589982 ADF589883:ADF589982 ANB589883:ANB589982 AWX589883:AWX589982 BGT589883:BGT589982 BQP589883:BQP589982 CAL589883:CAL589982 CKH589883:CKH589982 CUD589883:CUD589982 DDZ589883:DDZ589982 DNV589883:DNV589982 DXR589883:DXR589982 EHN589883:EHN589982 ERJ589883:ERJ589982 FBF589883:FBF589982 FLB589883:FLB589982 FUX589883:FUX589982 GET589883:GET589982 GOP589883:GOP589982 GYL589883:GYL589982 HIH589883:HIH589982 HSD589883:HSD589982 IBZ589883:IBZ589982 ILV589883:ILV589982 IVR589883:IVR589982 JFN589883:JFN589982 JPJ589883:JPJ589982 JZF589883:JZF589982 KJB589883:KJB589982 KSX589883:KSX589982 LCT589883:LCT589982 LMP589883:LMP589982 LWL589883:LWL589982 MGH589883:MGH589982 MQD589883:MQD589982 MZZ589883:MZZ589982 NJV589883:NJV589982 NTR589883:NTR589982 ODN589883:ODN589982 ONJ589883:ONJ589982 OXF589883:OXF589982 PHB589883:PHB589982 PQX589883:PQX589982 QAT589883:QAT589982 QKP589883:QKP589982 QUL589883:QUL589982 REH589883:REH589982 ROD589883:ROD589982 RXZ589883:RXZ589982 SHV589883:SHV589982 SRR589883:SRR589982 TBN589883:TBN589982 TLJ589883:TLJ589982 TVF589883:TVF589982 UFB589883:UFB589982 UOX589883:UOX589982 UYT589883:UYT589982 VIP589883:VIP589982 VSL589883:VSL589982 WCH589883:WCH589982 WMD589883:WMD589982 WVZ589883:WVZ589982 R655419:R655518 JN655419:JN655518 TJ655419:TJ655518 ADF655419:ADF655518 ANB655419:ANB655518 AWX655419:AWX655518 BGT655419:BGT655518 BQP655419:BQP655518 CAL655419:CAL655518 CKH655419:CKH655518 CUD655419:CUD655518 DDZ655419:DDZ655518 DNV655419:DNV655518 DXR655419:DXR655518 EHN655419:EHN655518 ERJ655419:ERJ655518 FBF655419:FBF655518 FLB655419:FLB655518 FUX655419:FUX655518 GET655419:GET655518 GOP655419:GOP655518 GYL655419:GYL655518 HIH655419:HIH655518 HSD655419:HSD655518 IBZ655419:IBZ655518 ILV655419:ILV655518 IVR655419:IVR655518 JFN655419:JFN655518 JPJ655419:JPJ655518 JZF655419:JZF655518 KJB655419:KJB655518 KSX655419:KSX655518 LCT655419:LCT655518 LMP655419:LMP655518 LWL655419:LWL655518 MGH655419:MGH655518 MQD655419:MQD655518 MZZ655419:MZZ655518 NJV655419:NJV655518 NTR655419:NTR655518 ODN655419:ODN655518 ONJ655419:ONJ655518 OXF655419:OXF655518 PHB655419:PHB655518 PQX655419:PQX655518 QAT655419:QAT655518 QKP655419:QKP655518 QUL655419:QUL655518 REH655419:REH655518 ROD655419:ROD655518 RXZ655419:RXZ655518 SHV655419:SHV655518 SRR655419:SRR655518 TBN655419:TBN655518 TLJ655419:TLJ655518 TVF655419:TVF655518 UFB655419:UFB655518 UOX655419:UOX655518 UYT655419:UYT655518 VIP655419:VIP655518 VSL655419:VSL655518 WCH655419:WCH655518 WMD655419:WMD655518 WVZ655419:WVZ655518 R720955:R721054 JN720955:JN721054 TJ720955:TJ721054 ADF720955:ADF721054 ANB720955:ANB721054 AWX720955:AWX721054 BGT720955:BGT721054 BQP720955:BQP721054 CAL720955:CAL721054 CKH720955:CKH721054 CUD720955:CUD721054 DDZ720955:DDZ721054 DNV720955:DNV721054 DXR720955:DXR721054 EHN720955:EHN721054 ERJ720955:ERJ721054 FBF720955:FBF721054 FLB720955:FLB721054 FUX720955:FUX721054 GET720955:GET721054 GOP720955:GOP721054 GYL720955:GYL721054 HIH720955:HIH721054 HSD720955:HSD721054 IBZ720955:IBZ721054 ILV720955:ILV721054 IVR720955:IVR721054 JFN720955:JFN721054 JPJ720955:JPJ721054 JZF720955:JZF721054 KJB720955:KJB721054 KSX720955:KSX721054 LCT720955:LCT721054 LMP720955:LMP721054 LWL720955:LWL721054 MGH720955:MGH721054 MQD720955:MQD721054 MZZ720955:MZZ721054 NJV720955:NJV721054 NTR720955:NTR721054 ODN720955:ODN721054 ONJ720955:ONJ721054 OXF720955:OXF721054 PHB720955:PHB721054 PQX720955:PQX721054 QAT720955:QAT721054 QKP720955:QKP721054 QUL720955:QUL721054 REH720955:REH721054 ROD720955:ROD721054 RXZ720955:RXZ721054 SHV720955:SHV721054 SRR720955:SRR721054 TBN720955:TBN721054 TLJ720955:TLJ721054 TVF720955:TVF721054 UFB720955:UFB721054 UOX720955:UOX721054 UYT720955:UYT721054 VIP720955:VIP721054 VSL720955:VSL721054 WCH720955:WCH721054 WMD720955:WMD721054 WVZ720955:WVZ721054 R786491:R786590 JN786491:JN786590 TJ786491:TJ786590 ADF786491:ADF786590 ANB786491:ANB786590 AWX786491:AWX786590 BGT786491:BGT786590 BQP786491:BQP786590 CAL786491:CAL786590 CKH786491:CKH786590 CUD786491:CUD786590 DDZ786491:DDZ786590 DNV786491:DNV786590 DXR786491:DXR786590 EHN786491:EHN786590 ERJ786491:ERJ786590 FBF786491:FBF786590 FLB786491:FLB786590 FUX786491:FUX786590 GET786491:GET786590 GOP786491:GOP786590 GYL786491:GYL786590 HIH786491:HIH786590 HSD786491:HSD786590 IBZ786491:IBZ786590 ILV786491:ILV786590 IVR786491:IVR786590 JFN786491:JFN786590 JPJ786491:JPJ786590 JZF786491:JZF786590 KJB786491:KJB786590 KSX786491:KSX786590 LCT786491:LCT786590 LMP786491:LMP786590 LWL786491:LWL786590 MGH786491:MGH786590 MQD786491:MQD786590 MZZ786491:MZZ786590 NJV786491:NJV786590 NTR786491:NTR786590 ODN786491:ODN786590 ONJ786491:ONJ786590 OXF786491:OXF786590 PHB786491:PHB786590 PQX786491:PQX786590 QAT786491:QAT786590 QKP786491:QKP786590 QUL786491:QUL786590 REH786491:REH786590 ROD786491:ROD786590 RXZ786491:RXZ786590 SHV786491:SHV786590 SRR786491:SRR786590 TBN786491:TBN786590 TLJ786491:TLJ786590 TVF786491:TVF786590 UFB786491:UFB786590 UOX786491:UOX786590 UYT786491:UYT786590 VIP786491:VIP786590 VSL786491:VSL786590 WCH786491:WCH786590 WMD786491:WMD786590 WVZ786491:WVZ786590 R852027:R852126 JN852027:JN852126 TJ852027:TJ852126 ADF852027:ADF852126 ANB852027:ANB852126 AWX852027:AWX852126 BGT852027:BGT852126 BQP852027:BQP852126 CAL852027:CAL852126 CKH852027:CKH852126 CUD852027:CUD852126 DDZ852027:DDZ852126 DNV852027:DNV852126 DXR852027:DXR852126 EHN852027:EHN852126 ERJ852027:ERJ852126 FBF852027:FBF852126 FLB852027:FLB852126 FUX852027:FUX852126 GET852027:GET852126 GOP852027:GOP852126 GYL852027:GYL852126 HIH852027:HIH852126 HSD852027:HSD852126 IBZ852027:IBZ852126 ILV852027:ILV852126 IVR852027:IVR852126 JFN852027:JFN852126 JPJ852027:JPJ852126 JZF852027:JZF852126 KJB852027:KJB852126 KSX852027:KSX852126 LCT852027:LCT852126 LMP852027:LMP852126 LWL852027:LWL852126 MGH852027:MGH852126 MQD852027:MQD852126 MZZ852027:MZZ852126 NJV852027:NJV852126 NTR852027:NTR852126 ODN852027:ODN852126 ONJ852027:ONJ852126 OXF852027:OXF852126 PHB852027:PHB852126 PQX852027:PQX852126 QAT852027:QAT852126 QKP852027:QKP852126 QUL852027:QUL852126 REH852027:REH852126 ROD852027:ROD852126 RXZ852027:RXZ852126 SHV852027:SHV852126 SRR852027:SRR852126 TBN852027:TBN852126 TLJ852027:TLJ852126 TVF852027:TVF852126 UFB852027:UFB852126 UOX852027:UOX852126 UYT852027:UYT852126 VIP852027:VIP852126 VSL852027:VSL852126 WCH852027:WCH852126 WMD852027:WMD852126 WVZ852027:WVZ852126 R917563:R917662 JN917563:JN917662 TJ917563:TJ917662 ADF917563:ADF917662 ANB917563:ANB917662 AWX917563:AWX917662 BGT917563:BGT917662 BQP917563:BQP917662 CAL917563:CAL917662 CKH917563:CKH917662 CUD917563:CUD917662 DDZ917563:DDZ917662 DNV917563:DNV917662 DXR917563:DXR917662 EHN917563:EHN917662 ERJ917563:ERJ917662 FBF917563:FBF917662 FLB917563:FLB917662 FUX917563:FUX917662 GET917563:GET917662 GOP917563:GOP917662 GYL917563:GYL917662 HIH917563:HIH917662 HSD917563:HSD917662 IBZ917563:IBZ917662 ILV917563:ILV917662 IVR917563:IVR917662 JFN917563:JFN917662 JPJ917563:JPJ917662 JZF917563:JZF917662 KJB917563:KJB917662 KSX917563:KSX917662 LCT917563:LCT917662 LMP917563:LMP917662 LWL917563:LWL917662 MGH917563:MGH917662 MQD917563:MQD917662 MZZ917563:MZZ917662 NJV917563:NJV917662 NTR917563:NTR917662 ODN917563:ODN917662 ONJ917563:ONJ917662 OXF917563:OXF917662 PHB917563:PHB917662 PQX917563:PQX917662 QAT917563:QAT917662 QKP917563:QKP917662 QUL917563:QUL917662 REH917563:REH917662 ROD917563:ROD917662 RXZ917563:RXZ917662 SHV917563:SHV917662 SRR917563:SRR917662 TBN917563:TBN917662 TLJ917563:TLJ917662 TVF917563:TVF917662 UFB917563:UFB917662 UOX917563:UOX917662 UYT917563:UYT917662 VIP917563:VIP917662 VSL917563:VSL917662 WCH917563:WCH917662 WMD917563:WMD917662 WVZ917563:WVZ917662 R983099:R983198 JN983099:JN983198 TJ983099:TJ983198 ADF983099:ADF983198 ANB983099:ANB983198 AWX983099:AWX983198 BGT983099:BGT983198 BQP983099:BQP983198 CAL983099:CAL983198 CKH983099:CKH983198 CUD983099:CUD983198 DDZ983099:DDZ983198 DNV983099:DNV983198 DXR983099:DXR983198 EHN983099:EHN983198 ERJ983099:ERJ983198 FBF983099:FBF983198 FLB983099:FLB983198 FUX983099:FUX983198 GET983099:GET983198 GOP983099:GOP983198 GYL983099:GYL983198 HIH983099:HIH983198 HSD983099:HSD983198 IBZ983099:IBZ983198 ILV983099:ILV983198 IVR983099:IVR983198 JFN983099:JFN983198 JPJ983099:JPJ983198 JZF983099:JZF983198 KJB983099:KJB983198 KSX983099:KSX983198 LCT983099:LCT983198 LMP983099:LMP983198 LWL983099:LWL983198 MGH983099:MGH983198 MQD983099:MQD983198 MZZ983099:MZZ983198 NJV983099:NJV983198 NTR983099:NTR983198 ODN983099:ODN983198 ONJ983099:ONJ983198 OXF983099:OXF983198 PHB983099:PHB983198 PQX983099:PQX983198 QAT983099:QAT983198 QKP983099:QKP983198 QUL983099:QUL983198 REH983099:REH983198 ROD983099:ROD983198 RXZ983099:RXZ983198 SHV983099:SHV983198 SRR983099:SRR983198 TBN983099:TBN983198 TLJ983099:TLJ983198 TVF983099:TVF983198 UFB983099:UFB983198 UOX983099:UOX983198 UYT983099:UYT983198 VIP983099:VIP983198 VSL983099:VSL983198 WCH983099:WCH983198 WMD983099:WMD983198 WVZ983099:WVZ983198" xr:uid="{00000000-0002-0000-0B00-000001000000}">
      <formula1>0</formula1>
      <formula2>1</formula2>
    </dataValidation>
  </dataValidations>
  <pageMargins left="0.7" right="0.7" top="0.78740157499999996" bottom="0.78740157499999996"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B00-000002000000}">
          <x14:formula1>
            <xm:f>Listen!$E$2:$E$8</xm:f>
          </x14:formula1>
          <xm:sqref>C59:C158</xm:sqref>
        </x14:dataValidation>
        <x14:dataValidation type="list" allowBlank="1" showInputMessage="1" showErrorMessage="1" xr:uid="{00000000-0002-0000-0B00-000003000000}">
          <x14:formula1>
            <xm:f>Listen!$G$2:$G$8</xm:f>
          </x14:formula1>
          <xm:sqref>D59:E158</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12"/>
  <dimension ref="A1:O70"/>
  <sheetViews>
    <sheetView workbookViewId="0"/>
  </sheetViews>
  <sheetFormatPr baseColWidth="10" defaultColWidth="11.42578125" defaultRowHeight="12.75" x14ac:dyDescent="0.2"/>
  <cols>
    <col min="1" max="1" width="11.42578125" customWidth="1"/>
  </cols>
  <sheetData>
    <row r="1" spans="1:15" ht="22.5" x14ac:dyDescent="0.3">
      <c r="A1" s="533" t="s">
        <v>149</v>
      </c>
    </row>
    <row r="3" spans="1:15" s="713" customFormat="1" ht="19.5" x14ac:dyDescent="0.35">
      <c r="A3" s="792" t="s">
        <v>504</v>
      </c>
      <c r="B3" s="792"/>
      <c r="C3" s="792"/>
      <c r="D3" s="792"/>
      <c r="E3" s="792"/>
      <c r="F3" s="792"/>
      <c r="G3" s="792"/>
      <c r="H3" s="792"/>
      <c r="I3" s="792"/>
      <c r="J3" s="792"/>
      <c r="K3" s="792"/>
      <c r="L3" s="792"/>
      <c r="M3" s="792"/>
      <c r="N3" s="792"/>
      <c r="O3" s="792"/>
    </row>
    <row r="58" spans="1:15" ht="41.1" customHeight="1" x14ac:dyDescent="0.3">
      <c r="A58" s="790"/>
      <c r="B58" s="790"/>
      <c r="C58" s="790"/>
      <c r="D58" s="790"/>
      <c r="E58" s="790"/>
      <c r="F58" s="790"/>
      <c r="G58" s="790"/>
      <c r="H58" s="790"/>
      <c r="I58" s="790"/>
      <c r="J58" s="790"/>
      <c r="K58" s="790"/>
      <c r="L58" s="790"/>
      <c r="M58" s="790"/>
      <c r="N58" s="790"/>
      <c r="O58" s="790"/>
    </row>
    <row r="68" spans="1:15" ht="22.5" x14ac:dyDescent="0.3">
      <c r="A68" s="533" t="s">
        <v>219</v>
      </c>
    </row>
    <row r="70" spans="1:15" ht="55.5" customHeight="1" x14ac:dyDescent="0.2">
      <c r="A70" s="791" t="s">
        <v>503</v>
      </c>
      <c r="B70" s="791"/>
      <c r="C70" s="791"/>
      <c r="D70" s="791"/>
      <c r="E70" s="791"/>
      <c r="F70" s="791"/>
      <c r="G70" s="791"/>
      <c r="H70" s="791"/>
      <c r="I70" s="791"/>
      <c r="J70" s="791"/>
      <c r="K70" s="791"/>
      <c r="L70" s="791"/>
      <c r="M70" s="791"/>
      <c r="N70" s="791"/>
      <c r="O70" s="791"/>
    </row>
  </sheetData>
  <sheetProtection algorithmName="SHA-512" hashValue="1pmfM/ZRVqJNF0YcUUpRwpSJ+duxZ8eX10e/ezotD4lx14ypCIaBj4Zk2FUg4h5tyKxqe0ZFnm1OOAvU+phH0A==" saltValue="FvGPJ9PYxXbzj/KKeu4+yw==" spinCount="100000" sheet="1" objects="1" scenarios="1" formatCells="0"/>
  <mergeCells count="3">
    <mergeCell ref="A58:O58"/>
    <mergeCell ref="A70:O70"/>
    <mergeCell ref="A3:O3"/>
  </mergeCells>
  <printOptions horizontalCentered="1"/>
  <pageMargins left="0.39370078740157483" right="0.39370078740157483" top="0.98425196850393704" bottom="0.98425196850393704" header="0.51181102362204722" footer="0.51181102362204722"/>
  <pageSetup paperSize="9" scale="58" fitToHeight="2" orientation="landscape" r:id="rId1"/>
  <headerFooter alignWithMargins="0"/>
  <rowBreaks count="1" manualBreakCount="1">
    <brk id="61" max="16383"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N17"/>
  <sheetViews>
    <sheetView workbookViewId="0">
      <selection activeCell="N5" sqref="N5"/>
    </sheetView>
  </sheetViews>
  <sheetFormatPr baseColWidth="10" defaultRowHeight="21" x14ac:dyDescent="0.35"/>
  <cols>
    <col min="1" max="1" width="23.28515625" style="696" bestFit="1" customWidth="1"/>
    <col min="2" max="2" width="13.42578125" style="696" customWidth="1"/>
    <col min="3" max="14" width="14.28515625" style="696" customWidth="1"/>
    <col min="15" max="16384" width="11.42578125" style="696"/>
  </cols>
  <sheetData>
    <row r="1" spans="1:14" x14ac:dyDescent="0.35">
      <c r="A1" s="793" t="s">
        <v>510</v>
      </c>
      <c r="B1" s="793"/>
      <c r="C1" s="793"/>
      <c r="D1" s="793"/>
      <c r="E1" s="793"/>
      <c r="F1" s="793"/>
      <c r="G1" s="793"/>
      <c r="H1" s="793"/>
      <c r="I1" s="793"/>
      <c r="J1" s="793"/>
      <c r="K1" s="793"/>
      <c r="L1" s="793"/>
      <c r="M1" s="793"/>
    </row>
    <row r="3" spans="1:14" x14ac:dyDescent="0.35">
      <c r="A3" s="726"/>
      <c r="B3" s="796" t="s">
        <v>498</v>
      </c>
      <c r="C3" s="798" t="s">
        <v>338</v>
      </c>
      <c r="D3" s="799"/>
      <c r="E3" s="799"/>
      <c r="F3" s="799"/>
      <c r="G3" s="799"/>
      <c r="H3" s="799"/>
      <c r="I3" s="799"/>
      <c r="J3" s="799"/>
      <c r="K3" s="799"/>
      <c r="L3" s="799"/>
      <c r="M3" s="799"/>
      <c r="N3" s="800"/>
    </row>
    <row r="4" spans="1:14" ht="41.25" customHeight="1" x14ac:dyDescent="0.35">
      <c r="A4" s="727" t="s">
        <v>511</v>
      </c>
      <c r="B4" s="797"/>
      <c r="C4" s="697">
        <v>2018</v>
      </c>
      <c r="D4" s="697">
        <f>C4+1</f>
        <v>2019</v>
      </c>
      <c r="E4" s="697">
        <f>D4+1</f>
        <v>2020</v>
      </c>
      <c r="F4" s="697">
        <f t="shared" ref="F4:I4" si="0">E4+1</f>
        <v>2021</v>
      </c>
      <c r="G4" s="697">
        <f t="shared" si="0"/>
        <v>2022</v>
      </c>
      <c r="H4" s="697">
        <f t="shared" si="0"/>
        <v>2023</v>
      </c>
      <c r="I4" s="697">
        <f t="shared" si="0"/>
        <v>2024</v>
      </c>
      <c r="J4" s="697">
        <f>I4+1</f>
        <v>2025</v>
      </c>
      <c r="K4" s="697">
        <f t="shared" ref="K4:N4" si="1">J4+1</f>
        <v>2026</v>
      </c>
      <c r="L4" s="697">
        <f t="shared" si="1"/>
        <v>2027</v>
      </c>
      <c r="M4" s="697">
        <f t="shared" si="1"/>
        <v>2028</v>
      </c>
      <c r="N4" s="725">
        <f t="shared" si="1"/>
        <v>2029</v>
      </c>
    </row>
    <row r="5" spans="1:14" x14ac:dyDescent="0.35">
      <c r="A5" s="698" t="s">
        <v>366</v>
      </c>
      <c r="B5" s="699"/>
      <c r="C5" s="700" t="str">
        <f t="shared" ref="C5:G13" si="2">IF(OR($A5="Rückspeisung fN",$A5="Rückspeisung eN"),"individuell",
IF(AND(OR($A5="EEG-vol",$A5="Sonstige-vol"),$B5="&lt;= 2017"),MIN(1,MAX(0,1-(C$4-2017)/3)),0)
+IF(AND(OR($A5="EEG-nvol",$A5="KWKG",$A5="Sonstige-nvol"),AND($B5="&lt;= 2022",C$4&lt;=2024)),1,0)
+IF(AND(OR($A5="EEG-nvol",$A5="KWKG",$A5="Sonstige-nvol"),AND($B5="&lt;= 2022",C$4&gt;=2025)),MIN(1,MAX(0,1-(C$4-2024)/4)),0)
)</f>
        <v>individuell</v>
      </c>
      <c r="D5" s="700" t="str">
        <f t="shared" si="2"/>
        <v>individuell</v>
      </c>
      <c r="E5" s="700" t="str">
        <f t="shared" si="2"/>
        <v>individuell</v>
      </c>
      <c r="F5" s="700" t="str">
        <f t="shared" si="2"/>
        <v>individuell</v>
      </c>
      <c r="G5" s="700" t="str">
        <f t="shared" si="2"/>
        <v>individuell</v>
      </c>
      <c r="H5" s="700" t="str">
        <f t="shared" ref="H5:N17" si="3">IF(AND(H$4&lt;=2028,OR($A5="Rückspeisung fN",$A5="Rückspeisung eN")),"individuell",
IF(AND(OR($A5="EEG-vol",$A5="Sonstige-vol"),$B5="&lt;= 2017"),MIN(1,MAX(0,1-(H$4-2017)/3)),0)
+IF(AND(OR($A5="EEG-nvol",$A5="KWKG",$A5="Sonstige-nvol"),AND($B5="&lt;= 2022",H$4&lt;=2025)),1,0)
+IF(AND(OR($A5="EEG-nvol",$A5="KWKG",$A5="Sonstige-nvol"),AND($B5="&lt;= 2022",H$4&gt;=2026)),MIN(1,MAX(0,1-(H$4-2025)/4)),0)
)</f>
        <v>individuell</v>
      </c>
      <c r="I5" s="700" t="str">
        <f t="shared" si="3"/>
        <v>individuell</v>
      </c>
      <c r="J5" s="706" t="str">
        <f t="shared" si="3"/>
        <v>individuell</v>
      </c>
      <c r="K5" s="706" t="str">
        <f t="shared" si="3"/>
        <v>individuell</v>
      </c>
      <c r="L5" s="706" t="str">
        <f t="shared" si="3"/>
        <v>individuell</v>
      </c>
      <c r="M5" s="706" t="str">
        <f t="shared" si="3"/>
        <v>individuell</v>
      </c>
      <c r="N5" s="709">
        <f>IF(AND(N$4&lt;=2028,OR($A5="Rückspeisung fN",$A5="Rückspeisung eN")),"individuell",
IF(AND(OR($A5="EEG-vol",$A5="Sonstige-vol"),$B5="&lt;= 2017"),MIN(1,MAX(0,1-(N$4-2017)/3)),0)
+IF(AND(OR($A5="EEG-nvol",$A5="KWKG",$A5="Sonstige-nvol"),AND($B5="&lt;= 2022",N$4&lt;=2025)),1,0)
+IF(AND(OR($A5="EEG-nvol",$A5="KWKG",$A5="Sonstige-nvol"),AND($B5="&lt;= 2022",N$4&gt;=2026)),MIN(1,MAX(0,1-(N$4-2025)/4)),0)
)</f>
        <v>0</v>
      </c>
    </row>
    <row r="6" spans="1:14" x14ac:dyDescent="0.35">
      <c r="A6" s="698" t="s">
        <v>365</v>
      </c>
      <c r="B6" s="699"/>
      <c r="C6" s="700" t="str">
        <f t="shared" si="2"/>
        <v>individuell</v>
      </c>
      <c r="D6" s="700" t="str">
        <f t="shared" si="2"/>
        <v>individuell</v>
      </c>
      <c r="E6" s="700" t="str">
        <f t="shared" si="2"/>
        <v>individuell</v>
      </c>
      <c r="F6" s="700" t="str">
        <f t="shared" si="2"/>
        <v>individuell</v>
      </c>
      <c r="G6" s="700" t="str">
        <f t="shared" si="2"/>
        <v>individuell</v>
      </c>
      <c r="H6" s="700" t="str">
        <f t="shared" si="3"/>
        <v>individuell</v>
      </c>
      <c r="I6" s="700" t="str">
        <f t="shared" si="3"/>
        <v>individuell</v>
      </c>
      <c r="J6" s="706" t="str">
        <f t="shared" si="3"/>
        <v>individuell</v>
      </c>
      <c r="K6" s="706" t="str">
        <f t="shared" si="3"/>
        <v>individuell</v>
      </c>
      <c r="L6" s="706" t="str">
        <f t="shared" si="3"/>
        <v>individuell</v>
      </c>
      <c r="M6" s="706" t="str">
        <f t="shared" si="3"/>
        <v>individuell</v>
      </c>
      <c r="N6" s="709">
        <f t="shared" si="3"/>
        <v>0</v>
      </c>
    </row>
    <row r="7" spans="1:14" x14ac:dyDescent="0.35">
      <c r="A7" s="701" t="s">
        <v>317</v>
      </c>
      <c r="B7" s="702" t="s">
        <v>380</v>
      </c>
      <c r="C7" s="703">
        <f t="shared" si="2"/>
        <v>1</v>
      </c>
      <c r="D7" s="703">
        <f t="shared" si="2"/>
        <v>1</v>
      </c>
      <c r="E7" s="703">
        <f t="shared" si="2"/>
        <v>1</v>
      </c>
      <c r="F7" s="703">
        <f t="shared" si="2"/>
        <v>1</v>
      </c>
      <c r="G7" s="703">
        <f t="shared" si="2"/>
        <v>1</v>
      </c>
      <c r="H7" s="703">
        <f t="shared" si="3"/>
        <v>1</v>
      </c>
      <c r="I7" s="703">
        <f t="shared" si="3"/>
        <v>1</v>
      </c>
      <c r="J7" s="706">
        <f t="shared" si="3"/>
        <v>1</v>
      </c>
      <c r="K7" s="706">
        <f t="shared" si="3"/>
        <v>0.75</v>
      </c>
      <c r="L7" s="706">
        <f t="shared" si="3"/>
        <v>0.5</v>
      </c>
      <c r="M7" s="706">
        <f t="shared" si="3"/>
        <v>0.25</v>
      </c>
      <c r="N7" s="709">
        <f t="shared" si="3"/>
        <v>0</v>
      </c>
    </row>
    <row r="8" spans="1:14" x14ac:dyDescent="0.35">
      <c r="A8" s="701" t="s">
        <v>16</v>
      </c>
      <c r="B8" s="702" t="s">
        <v>380</v>
      </c>
      <c r="C8" s="703">
        <f t="shared" si="2"/>
        <v>1</v>
      </c>
      <c r="D8" s="703">
        <f t="shared" si="2"/>
        <v>1</v>
      </c>
      <c r="E8" s="703">
        <f t="shared" si="2"/>
        <v>1</v>
      </c>
      <c r="F8" s="703">
        <f t="shared" si="2"/>
        <v>1</v>
      </c>
      <c r="G8" s="703">
        <f t="shared" si="2"/>
        <v>1</v>
      </c>
      <c r="H8" s="703">
        <f t="shared" si="3"/>
        <v>1</v>
      </c>
      <c r="I8" s="703">
        <f t="shared" si="3"/>
        <v>1</v>
      </c>
      <c r="J8" s="706">
        <f t="shared" si="3"/>
        <v>1</v>
      </c>
      <c r="K8" s="706">
        <f t="shared" si="3"/>
        <v>0.75</v>
      </c>
      <c r="L8" s="706">
        <f t="shared" si="3"/>
        <v>0.5</v>
      </c>
      <c r="M8" s="706">
        <f t="shared" si="3"/>
        <v>0.25</v>
      </c>
      <c r="N8" s="709">
        <f t="shared" si="3"/>
        <v>0</v>
      </c>
    </row>
    <row r="9" spans="1:14" x14ac:dyDescent="0.35">
      <c r="A9" s="701" t="s">
        <v>323</v>
      </c>
      <c r="B9" s="702" t="s">
        <v>380</v>
      </c>
      <c r="C9" s="703">
        <f t="shared" si="2"/>
        <v>1</v>
      </c>
      <c r="D9" s="703">
        <f t="shared" si="2"/>
        <v>1</v>
      </c>
      <c r="E9" s="703">
        <f t="shared" si="2"/>
        <v>1</v>
      </c>
      <c r="F9" s="703">
        <f t="shared" si="2"/>
        <v>1</v>
      </c>
      <c r="G9" s="703">
        <f t="shared" si="2"/>
        <v>1</v>
      </c>
      <c r="H9" s="703">
        <f t="shared" si="3"/>
        <v>1</v>
      </c>
      <c r="I9" s="703">
        <f t="shared" si="3"/>
        <v>1</v>
      </c>
      <c r="J9" s="706">
        <f t="shared" si="3"/>
        <v>1</v>
      </c>
      <c r="K9" s="706">
        <f t="shared" si="3"/>
        <v>0.75</v>
      </c>
      <c r="L9" s="706">
        <f t="shared" si="3"/>
        <v>0.5</v>
      </c>
      <c r="M9" s="706">
        <f t="shared" si="3"/>
        <v>0.25</v>
      </c>
      <c r="N9" s="709">
        <f t="shared" si="3"/>
        <v>0</v>
      </c>
    </row>
    <row r="10" spans="1:14" x14ac:dyDescent="0.35">
      <c r="A10" s="704" t="s">
        <v>316</v>
      </c>
      <c r="B10" s="705" t="s">
        <v>378</v>
      </c>
      <c r="C10" s="706">
        <f t="shared" si="2"/>
        <v>0.66666666666666674</v>
      </c>
      <c r="D10" s="706">
        <f t="shared" si="2"/>
        <v>0.33333333333333337</v>
      </c>
      <c r="E10" s="709">
        <f t="shared" si="2"/>
        <v>0</v>
      </c>
      <c r="F10" s="709">
        <f t="shared" si="2"/>
        <v>0</v>
      </c>
      <c r="G10" s="709">
        <f t="shared" si="2"/>
        <v>0</v>
      </c>
      <c r="H10" s="709">
        <f t="shared" si="3"/>
        <v>0</v>
      </c>
      <c r="I10" s="709">
        <f t="shared" si="3"/>
        <v>0</v>
      </c>
      <c r="J10" s="709">
        <f t="shared" si="3"/>
        <v>0</v>
      </c>
      <c r="K10" s="709">
        <f t="shared" si="3"/>
        <v>0</v>
      </c>
      <c r="L10" s="709">
        <f t="shared" si="3"/>
        <v>0</v>
      </c>
      <c r="M10" s="709">
        <f t="shared" si="3"/>
        <v>0</v>
      </c>
      <c r="N10" s="709">
        <f t="shared" si="3"/>
        <v>0</v>
      </c>
    </row>
    <row r="11" spans="1:14" x14ac:dyDescent="0.35">
      <c r="A11" s="704" t="s">
        <v>322</v>
      </c>
      <c r="B11" s="705" t="s">
        <v>378</v>
      </c>
      <c r="C11" s="706">
        <f t="shared" si="2"/>
        <v>0.66666666666666674</v>
      </c>
      <c r="D11" s="706">
        <f t="shared" si="2"/>
        <v>0.33333333333333337</v>
      </c>
      <c r="E11" s="709">
        <f t="shared" si="2"/>
        <v>0</v>
      </c>
      <c r="F11" s="709">
        <f t="shared" si="2"/>
        <v>0</v>
      </c>
      <c r="G11" s="709">
        <f t="shared" si="2"/>
        <v>0</v>
      </c>
      <c r="H11" s="709">
        <f t="shared" si="3"/>
        <v>0</v>
      </c>
      <c r="I11" s="709">
        <f t="shared" si="3"/>
        <v>0</v>
      </c>
      <c r="J11" s="709">
        <f t="shared" si="3"/>
        <v>0</v>
      </c>
      <c r="K11" s="709">
        <f t="shared" si="3"/>
        <v>0</v>
      </c>
      <c r="L11" s="709">
        <f t="shared" si="3"/>
        <v>0</v>
      </c>
      <c r="M11" s="709">
        <f t="shared" si="3"/>
        <v>0</v>
      </c>
      <c r="N11" s="709">
        <f t="shared" si="3"/>
        <v>0</v>
      </c>
    </row>
    <row r="12" spans="1:14" x14ac:dyDescent="0.35">
      <c r="A12" s="707" t="s">
        <v>316</v>
      </c>
      <c r="B12" s="708" t="s">
        <v>379</v>
      </c>
      <c r="C12" s="709">
        <f t="shared" si="2"/>
        <v>0</v>
      </c>
      <c r="D12" s="709">
        <f t="shared" si="2"/>
        <v>0</v>
      </c>
      <c r="E12" s="709">
        <f t="shared" si="2"/>
        <v>0</v>
      </c>
      <c r="F12" s="709">
        <f t="shared" si="2"/>
        <v>0</v>
      </c>
      <c r="G12" s="709">
        <f t="shared" si="2"/>
        <v>0</v>
      </c>
      <c r="H12" s="709">
        <f t="shared" si="3"/>
        <v>0</v>
      </c>
      <c r="I12" s="709">
        <f t="shared" si="3"/>
        <v>0</v>
      </c>
      <c r="J12" s="709">
        <f t="shared" si="3"/>
        <v>0</v>
      </c>
      <c r="K12" s="709">
        <f t="shared" si="3"/>
        <v>0</v>
      </c>
      <c r="L12" s="709">
        <f t="shared" si="3"/>
        <v>0</v>
      </c>
      <c r="M12" s="709">
        <f t="shared" si="3"/>
        <v>0</v>
      </c>
      <c r="N12" s="709">
        <f t="shared" si="3"/>
        <v>0</v>
      </c>
    </row>
    <row r="13" spans="1:14" x14ac:dyDescent="0.35">
      <c r="A13" s="707" t="s">
        <v>322</v>
      </c>
      <c r="B13" s="708" t="s">
        <v>379</v>
      </c>
      <c r="C13" s="709">
        <f t="shared" si="2"/>
        <v>0</v>
      </c>
      <c r="D13" s="709">
        <f t="shared" si="2"/>
        <v>0</v>
      </c>
      <c r="E13" s="709">
        <f t="shared" si="2"/>
        <v>0</v>
      </c>
      <c r="F13" s="709">
        <f t="shared" si="2"/>
        <v>0</v>
      </c>
      <c r="G13" s="709">
        <f t="shared" si="2"/>
        <v>0</v>
      </c>
      <c r="H13" s="709">
        <f t="shared" si="3"/>
        <v>0</v>
      </c>
      <c r="I13" s="709">
        <f t="shared" si="3"/>
        <v>0</v>
      </c>
      <c r="J13" s="709">
        <f t="shared" si="3"/>
        <v>0</v>
      </c>
      <c r="K13" s="709">
        <f t="shared" si="3"/>
        <v>0</v>
      </c>
      <c r="L13" s="709">
        <f t="shared" si="3"/>
        <v>0</v>
      </c>
      <c r="M13" s="709">
        <f t="shared" si="3"/>
        <v>0</v>
      </c>
      <c r="N13" s="709">
        <f t="shared" si="3"/>
        <v>0</v>
      </c>
    </row>
    <row r="14" spans="1:14" x14ac:dyDescent="0.35">
      <c r="A14" s="707" t="s">
        <v>317</v>
      </c>
      <c r="B14" s="708" t="s">
        <v>381</v>
      </c>
      <c r="C14" s="794" t="s">
        <v>499</v>
      </c>
      <c r="D14" s="795">
        <f t="shared" ref="D14:G16" si="4">IF(OR($A14="Rückspeisung fN",$A14="Rückspeisung eN"),"individuell",
IF(AND(OR($A14="EEG-vol",$A14="Sonstige-vol"),$B14="&lt;= 2017"),MIN(1,MAX(0,1-(D$4-2017)/3)),0)
+IF(AND(OR($A14="EEG-nvol",$A14="KWKG",$A14="Sonstige-nvol"),$B14="&lt;= 2022"),1,0))</f>
        <v>0</v>
      </c>
      <c r="E14" s="795">
        <f t="shared" si="4"/>
        <v>0</v>
      </c>
      <c r="F14" s="795">
        <f t="shared" si="4"/>
        <v>0</v>
      </c>
      <c r="G14" s="795">
        <f t="shared" si="4"/>
        <v>0</v>
      </c>
      <c r="H14" s="709">
        <f t="shared" si="3"/>
        <v>0</v>
      </c>
      <c r="I14" s="709">
        <f t="shared" si="3"/>
        <v>0</v>
      </c>
      <c r="J14" s="709">
        <f t="shared" si="3"/>
        <v>0</v>
      </c>
      <c r="K14" s="709">
        <f t="shared" si="3"/>
        <v>0</v>
      </c>
      <c r="L14" s="709">
        <f t="shared" si="3"/>
        <v>0</v>
      </c>
      <c r="M14" s="709">
        <f t="shared" si="3"/>
        <v>0</v>
      </c>
      <c r="N14" s="709">
        <f t="shared" si="3"/>
        <v>0</v>
      </c>
    </row>
    <row r="15" spans="1:14" x14ac:dyDescent="0.35">
      <c r="A15" s="707" t="s">
        <v>16</v>
      </c>
      <c r="B15" s="708" t="s">
        <v>381</v>
      </c>
      <c r="C15" s="794" t="s">
        <v>499</v>
      </c>
      <c r="D15" s="795">
        <f t="shared" si="4"/>
        <v>0</v>
      </c>
      <c r="E15" s="795">
        <f t="shared" si="4"/>
        <v>0</v>
      </c>
      <c r="F15" s="795">
        <f t="shared" si="4"/>
        <v>0</v>
      </c>
      <c r="G15" s="795">
        <f t="shared" si="4"/>
        <v>0</v>
      </c>
      <c r="H15" s="709">
        <f t="shared" si="3"/>
        <v>0</v>
      </c>
      <c r="I15" s="709">
        <f t="shared" si="3"/>
        <v>0</v>
      </c>
      <c r="J15" s="709">
        <f t="shared" si="3"/>
        <v>0</v>
      </c>
      <c r="K15" s="709">
        <f t="shared" si="3"/>
        <v>0</v>
      </c>
      <c r="L15" s="709">
        <f t="shared" si="3"/>
        <v>0</v>
      </c>
      <c r="M15" s="709">
        <f t="shared" si="3"/>
        <v>0</v>
      </c>
      <c r="N15" s="709">
        <f t="shared" si="3"/>
        <v>0</v>
      </c>
    </row>
    <row r="16" spans="1:14" x14ac:dyDescent="0.35">
      <c r="A16" s="707" t="s">
        <v>323</v>
      </c>
      <c r="B16" s="708" t="s">
        <v>381</v>
      </c>
      <c r="C16" s="794" t="s">
        <v>499</v>
      </c>
      <c r="D16" s="795">
        <f t="shared" si="4"/>
        <v>0</v>
      </c>
      <c r="E16" s="795">
        <f t="shared" si="4"/>
        <v>0</v>
      </c>
      <c r="F16" s="795">
        <f t="shared" si="4"/>
        <v>0</v>
      </c>
      <c r="G16" s="795">
        <f t="shared" si="4"/>
        <v>0</v>
      </c>
      <c r="H16" s="709">
        <f t="shared" si="3"/>
        <v>0</v>
      </c>
      <c r="I16" s="709">
        <f t="shared" si="3"/>
        <v>0</v>
      </c>
      <c r="J16" s="709">
        <f t="shared" si="3"/>
        <v>0</v>
      </c>
      <c r="K16" s="709">
        <f t="shared" si="3"/>
        <v>0</v>
      </c>
      <c r="L16" s="709">
        <f t="shared" si="3"/>
        <v>0</v>
      </c>
      <c r="M16" s="709">
        <f t="shared" si="3"/>
        <v>0</v>
      </c>
      <c r="N16" s="709">
        <f t="shared" si="3"/>
        <v>0</v>
      </c>
    </row>
    <row r="17" spans="1:14" x14ac:dyDescent="0.35">
      <c r="A17" s="707" t="s">
        <v>411</v>
      </c>
      <c r="B17" s="710"/>
      <c r="C17" s="709">
        <f t="shared" ref="C17:G17" si="5">IF(OR($A17="Rückspeisung fN",$A17="Rückspeisung eN"),"individuell",
IF(AND(OR($A17="EEG-vol",$A17="Sonstige-vol"),$B17="&lt;= 2017"),MIN(1,MAX(0,1-(C$4-2017)/3)),0)
+IF(AND(OR($A17="EEG-nvol",$A17="KWKG",$A17="Sonstige-nvol"),AND($B17="&lt;= 2022",C$4&lt;=2024)),1,0)
+IF(AND(OR($A17="EEG-nvol",$A17="KWKG",$A17="Sonstige-nvol"),AND($B17="&lt;= 2022",C$4&gt;=2025)),MIN(1,MAX(0,1-(C$4-2024)/4)),0)
)</f>
        <v>0</v>
      </c>
      <c r="D17" s="709">
        <f t="shared" si="5"/>
        <v>0</v>
      </c>
      <c r="E17" s="709">
        <f t="shared" si="5"/>
        <v>0</v>
      </c>
      <c r="F17" s="709">
        <f t="shared" si="5"/>
        <v>0</v>
      </c>
      <c r="G17" s="709">
        <f t="shared" si="5"/>
        <v>0</v>
      </c>
      <c r="H17" s="709">
        <f t="shared" si="3"/>
        <v>0</v>
      </c>
      <c r="I17" s="709">
        <f t="shared" si="3"/>
        <v>0</v>
      </c>
      <c r="J17" s="709">
        <f t="shared" si="3"/>
        <v>0</v>
      </c>
      <c r="K17" s="709">
        <f t="shared" si="3"/>
        <v>0</v>
      </c>
      <c r="L17" s="709">
        <f t="shared" si="3"/>
        <v>0</v>
      </c>
      <c r="M17" s="709">
        <f t="shared" si="3"/>
        <v>0</v>
      </c>
      <c r="N17" s="709">
        <f t="shared" si="3"/>
        <v>0</v>
      </c>
    </row>
  </sheetData>
  <sheetProtection algorithmName="SHA-512" hashValue="DZTT5/yiwRidJWVm5i1q1JGrMIv364nzoX5y0mugHkfQ+OOn7RVKDYRD80lC5sFWai6+uLUrkjlr4wySx49+FA==" saltValue="3JO4wAgVACreN96yblRQ2Q==" spinCount="100000" sheet="1" objects="1" scenarios="1" formatCells="0"/>
  <mergeCells count="6">
    <mergeCell ref="A1:M1"/>
    <mergeCell ref="C16:G16"/>
    <mergeCell ref="B3:B4"/>
    <mergeCell ref="C14:G14"/>
    <mergeCell ref="C15:G15"/>
    <mergeCell ref="C3:N3"/>
  </mergeCells>
  <pageMargins left="0.7" right="0.7" top="0.78740157499999996" bottom="0.78740157499999996"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13">
    <tabColor rgb="FFFFFF99"/>
  </sheetPr>
  <dimension ref="A1:G4"/>
  <sheetViews>
    <sheetView workbookViewId="0"/>
  </sheetViews>
  <sheetFormatPr baseColWidth="10" defaultColWidth="11.42578125" defaultRowHeight="15" x14ac:dyDescent="0.25"/>
  <cols>
    <col min="1" max="16384" width="11.42578125" style="26"/>
  </cols>
  <sheetData>
    <row r="1" spans="1:7" x14ac:dyDescent="0.25">
      <c r="A1" s="534" t="str">
        <f>Zusammenfassung!A1</f>
        <v>XY GmbH</v>
      </c>
      <c r="B1" s="534"/>
      <c r="C1" s="534"/>
      <c r="D1" s="534"/>
      <c r="E1" s="534"/>
      <c r="F1" s="534"/>
      <c r="G1" s="534"/>
    </row>
    <row r="2" spans="1:7" x14ac:dyDescent="0.25">
      <c r="A2" s="181"/>
      <c r="B2" s="181"/>
      <c r="C2" s="181"/>
      <c r="D2" s="181"/>
      <c r="E2" s="181"/>
      <c r="F2" s="181"/>
      <c r="G2" s="181"/>
    </row>
    <row r="3" spans="1:7" x14ac:dyDescent="0.25">
      <c r="A3" s="535" t="s">
        <v>70</v>
      </c>
      <c r="B3" s="181"/>
      <c r="C3" s="181"/>
      <c r="D3" s="181"/>
      <c r="E3" s="181"/>
      <c r="F3" s="181"/>
      <c r="G3" s="181"/>
    </row>
    <row r="4" spans="1:7" x14ac:dyDescent="0.25">
      <c r="A4" s="181" t="s">
        <v>71</v>
      </c>
      <c r="B4" s="181"/>
      <c r="C4" s="181"/>
      <c r="D4" s="181"/>
      <c r="E4" s="181"/>
      <c r="F4" s="181"/>
      <c r="G4" s="181"/>
    </row>
  </sheetData>
  <sheetProtection formatCells="0"/>
  <pageMargins left="0.7" right="0.7" top="0.78740157499999996" bottom="0.78740157499999996" header="0.3" footer="0.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16"/>
  <dimension ref="A1:G14"/>
  <sheetViews>
    <sheetView workbookViewId="0">
      <selection activeCell="D19" sqref="D19"/>
    </sheetView>
  </sheetViews>
  <sheetFormatPr baseColWidth="10" defaultColWidth="11.42578125" defaultRowHeight="12.75" x14ac:dyDescent="0.2"/>
  <cols>
    <col min="1" max="1" width="15.7109375" customWidth="1"/>
    <col min="5" max="5" width="24.140625" bestFit="1" customWidth="1"/>
    <col min="7" max="7" width="39" bestFit="1" customWidth="1"/>
  </cols>
  <sheetData>
    <row r="1" spans="1:7" ht="15" x14ac:dyDescent="0.2">
      <c r="A1" s="536" t="s">
        <v>366</v>
      </c>
      <c r="B1" s="537"/>
      <c r="C1" s="538"/>
      <c r="E1" s="690" t="s">
        <v>484</v>
      </c>
      <c r="F1" s="691"/>
      <c r="G1" s="690" t="s">
        <v>485</v>
      </c>
    </row>
    <row r="2" spans="1:7" ht="15" x14ac:dyDescent="0.2">
      <c r="A2" s="539" t="s">
        <v>365</v>
      </c>
      <c r="B2" s="540"/>
      <c r="C2" s="541"/>
      <c r="E2" s="692" t="s">
        <v>469</v>
      </c>
      <c r="F2" s="691"/>
      <c r="G2" s="692" t="s">
        <v>469</v>
      </c>
    </row>
    <row r="3" spans="1:7" ht="15" x14ac:dyDescent="0.25">
      <c r="A3" s="509" t="s">
        <v>316</v>
      </c>
      <c r="B3" s="510" t="s">
        <v>378</v>
      </c>
      <c r="C3" s="542" t="s">
        <v>379</v>
      </c>
      <c r="E3" s="692" t="s">
        <v>486</v>
      </c>
      <c r="F3" s="691"/>
      <c r="G3" s="692" t="s">
        <v>400</v>
      </c>
    </row>
    <row r="4" spans="1:7" ht="15" x14ac:dyDescent="0.25">
      <c r="A4" s="509" t="s">
        <v>322</v>
      </c>
      <c r="B4" s="510" t="s">
        <v>378</v>
      </c>
      <c r="C4" s="542" t="s">
        <v>379</v>
      </c>
      <c r="E4" s="692" t="s">
        <v>281</v>
      </c>
      <c r="F4" s="691"/>
      <c r="G4" s="692" t="s">
        <v>401</v>
      </c>
    </row>
    <row r="5" spans="1:7" ht="15" x14ac:dyDescent="0.25">
      <c r="A5" s="509" t="s">
        <v>317</v>
      </c>
      <c r="B5" s="510" t="s">
        <v>380</v>
      </c>
      <c r="C5" s="542" t="s">
        <v>381</v>
      </c>
      <c r="E5" s="692" t="s">
        <v>487</v>
      </c>
      <c r="F5" s="691"/>
      <c r="G5" s="692" t="s">
        <v>402</v>
      </c>
    </row>
    <row r="6" spans="1:7" ht="15" x14ac:dyDescent="0.25">
      <c r="A6" s="509" t="s">
        <v>16</v>
      </c>
      <c r="B6" s="510" t="s">
        <v>380</v>
      </c>
      <c r="C6" s="542" t="s">
        <v>381</v>
      </c>
      <c r="E6" s="692" t="s">
        <v>11</v>
      </c>
      <c r="F6" s="691"/>
      <c r="G6" s="692" t="s">
        <v>348</v>
      </c>
    </row>
    <row r="7" spans="1:7" ht="15" x14ac:dyDescent="0.25">
      <c r="A7" s="509" t="s">
        <v>323</v>
      </c>
      <c r="B7" s="510" t="s">
        <v>380</v>
      </c>
      <c r="C7" s="542" t="s">
        <v>381</v>
      </c>
      <c r="E7" s="692" t="s">
        <v>488</v>
      </c>
      <c r="F7" s="691"/>
      <c r="G7" s="692" t="s">
        <v>349</v>
      </c>
    </row>
    <row r="8" spans="1:7" ht="15" x14ac:dyDescent="0.25">
      <c r="A8" s="509" t="s">
        <v>411</v>
      </c>
      <c r="B8" s="510">
        <v>0</v>
      </c>
      <c r="C8" s="542"/>
      <c r="E8" s="692" t="s">
        <v>12</v>
      </c>
      <c r="F8" s="691"/>
      <c r="G8" s="692" t="s">
        <v>166</v>
      </c>
    </row>
    <row r="9" spans="1:7" ht="15" x14ac:dyDescent="0.25">
      <c r="A9" s="509"/>
      <c r="B9" s="510"/>
      <c r="C9" s="542"/>
    </row>
    <row r="10" spans="1:7" ht="15" x14ac:dyDescent="0.25">
      <c r="A10" s="543">
        <v>0</v>
      </c>
      <c r="B10" s="544">
        <v>0</v>
      </c>
      <c r="C10" s="545"/>
    </row>
    <row r="12" spans="1:7" ht="15" x14ac:dyDescent="0.25">
      <c r="A12" s="518" t="s">
        <v>367</v>
      </c>
    </row>
    <row r="13" spans="1:7" ht="15" x14ac:dyDescent="0.25">
      <c r="A13" s="524" t="s">
        <v>298</v>
      </c>
    </row>
    <row r="14" spans="1:7" ht="15" x14ac:dyDescent="0.25">
      <c r="A14" s="521" t="s">
        <v>368</v>
      </c>
    </row>
  </sheetData>
  <sheetProtection algorithmName="SHA-512" hashValue="9LghHvWNB9I2DIUPXzWJoTkok97iZX/CD8mI/mj7iXV4wf2lCsQ194GNzbh8DB8LsY+SAfJao7lFN289Tq5FQg==" saltValue="IUI/bsaJ9+u7JeN5Us6GJA==" spinCount="100000" sheet="1" objects="1" scenarios="1" formatCells="0"/>
  <pageMargins left="0.7" right="0.7" top="0.78740157499999996" bottom="0.78740157499999996"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tabColor rgb="FFFFFF00"/>
  </sheetPr>
  <dimension ref="A1:P45"/>
  <sheetViews>
    <sheetView workbookViewId="0"/>
  </sheetViews>
  <sheetFormatPr baseColWidth="10" defaultColWidth="11.42578125" defaultRowHeight="15" x14ac:dyDescent="0.25"/>
  <cols>
    <col min="1" max="1" width="14.140625" style="27" customWidth="1"/>
    <col min="2" max="7" width="15.140625" style="27" customWidth="1"/>
    <col min="8" max="8" width="16.5703125" style="27" customWidth="1"/>
    <col min="9" max="14" width="15.140625" style="27" customWidth="1"/>
    <col min="15" max="15" width="16.42578125" style="27" bestFit="1" customWidth="1"/>
    <col min="16" max="16" width="17.85546875" style="27" customWidth="1"/>
    <col min="17" max="16384" width="11.42578125" style="27"/>
  </cols>
  <sheetData>
    <row r="1" spans="1:16" x14ac:dyDescent="0.25">
      <c r="A1" s="4" t="str">
        <f>Allgemeines!B27</f>
        <v>XY GmbH</v>
      </c>
      <c r="B1" s="4"/>
      <c r="C1" s="4"/>
      <c r="D1" s="4"/>
      <c r="E1" s="4"/>
      <c r="F1" s="4"/>
      <c r="G1" s="4"/>
      <c r="H1" s="4"/>
      <c r="I1" s="4"/>
      <c r="J1" s="4"/>
      <c r="K1" s="4"/>
      <c r="L1" s="4"/>
      <c r="M1" s="4"/>
      <c r="N1" s="4"/>
      <c r="O1" s="4"/>
      <c r="P1" s="4"/>
    </row>
    <row r="2" spans="1:16" x14ac:dyDescent="0.25">
      <c r="A2" s="182"/>
    </row>
    <row r="3" spans="1:16" x14ac:dyDescent="0.25">
      <c r="A3" s="41" t="s">
        <v>422</v>
      </c>
      <c r="B3" s="41"/>
    </row>
    <row r="4" spans="1:16" x14ac:dyDescent="0.25">
      <c r="A4" s="41"/>
      <c r="B4" s="41"/>
    </row>
    <row r="5" spans="1:16" x14ac:dyDescent="0.25">
      <c r="A5" s="27" t="s">
        <v>260</v>
      </c>
      <c r="B5" s="41"/>
      <c r="D5" s="110"/>
    </row>
    <row r="6" spans="1:16" ht="15.75" thickBot="1" x14ac:dyDescent="0.3"/>
    <row r="7" spans="1:16" ht="60" x14ac:dyDescent="0.25">
      <c r="A7" s="73"/>
      <c r="B7" s="75"/>
      <c r="C7" s="183" t="s">
        <v>103</v>
      </c>
      <c r="D7" s="184" t="s">
        <v>72</v>
      </c>
      <c r="E7" s="184" t="s">
        <v>118</v>
      </c>
      <c r="F7" s="184" t="s">
        <v>138</v>
      </c>
      <c r="G7" s="185" t="s">
        <v>137</v>
      </c>
      <c r="H7" s="186" t="s">
        <v>80</v>
      </c>
      <c r="I7" s="183" t="s">
        <v>113</v>
      </c>
      <c r="J7" s="187" t="s">
        <v>115</v>
      </c>
      <c r="K7" s="188" t="s">
        <v>91</v>
      </c>
      <c r="L7" s="187" t="s">
        <v>194</v>
      </c>
      <c r="M7" s="184" t="s">
        <v>193</v>
      </c>
      <c r="N7" s="187" t="s">
        <v>24</v>
      </c>
      <c r="O7" s="189" t="s">
        <v>81</v>
      </c>
      <c r="P7" s="186" t="s">
        <v>79</v>
      </c>
    </row>
    <row r="8" spans="1:16" s="200" customFormat="1" ht="33" x14ac:dyDescent="0.2">
      <c r="A8" s="190"/>
      <c r="B8" s="191"/>
      <c r="C8" s="192" t="s">
        <v>104</v>
      </c>
      <c r="D8" s="193" t="s">
        <v>109</v>
      </c>
      <c r="E8" s="193" t="s">
        <v>13</v>
      </c>
      <c r="F8" s="194" t="s">
        <v>101</v>
      </c>
      <c r="G8" s="195" t="s">
        <v>110</v>
      </c>
      <c r="H8" s="196" t="s">
        <v>415</v>
      </c>
      <c r="I8" s="192" t="s">
        <v>114</v>
      </c>
      <c r="J8" s="193" t="s">
        <v>107</v>
      </c>
      <c r="K8" s="197" t="s">
        <v>112</v>
      </c>
      <c r="L8" s="193" t="s">
        <v>106</v>
      </c>
      <c r="M8" s="193" t="s">
        <v>111</v>
      </c>
      <c r="N8" s="198" t="s">
        <v>14</v>
      </c>
      <c r="O8" s="199" t="s">
        <v>413</v>
      </c>
      <c r="P8" s="196" t="s">
        <v>414</v>
      </c>
    </row>
    <row r="9" spans="1:16" ht="15.75" thickBot="1" x14ac:dyDescent="0.3">
      <c r="A9" s="78"/>
      <c r="B9" s="80"/>
      <c r="C9" s="49" t="s">
        <v>7</v>
      </c>
      <c r="D9" s="47" t="s">
        <v>7</v>
      </c>
      <c r="E9" s="47" t="s">
        <v>7</v>
      </c>
      <c r="F9" s="47" t="s">
        <v>7</v>
      </c>
      <c r="G9" s="201" t="s">
        <v>7</v>
      </c>
      <c r="H9" s="202" t="s">
        <v>7</v>
      </c>
      <c r="I9" s="49" t="s">
        <v>7</v>
      </c>
      <c r="J9" s="47" t="s">
        <v>7</v>
      </c>
      <c r="K9" s="47" t="s">
        <v>7</v>
      </c>
      <c r="L9" s="47" t="s">
        <v>7</v>
      </c>
      <c r="M9" s="47" t="s">
        <v>7</v>
      </c>
      <c r="N9" s="201" t="s">
        <v>7</v>
      </c>
      <c r="O9" s="203" t="s">
        <v>7</v>
      </c>
      <c r="P9" s="204"/>
    </row>
    <row r="10" spans="1:16" x14ac:dyDescent="0.25">
      <c r="A10" s="76" t="s">
        <v>281</v>
      </c>
      <c r="B10" s="205" t="s">
        <v>280</v>
      </c>
      <c r="C10" s="146"/>
      <c r="D10" s="145">
        <v>0</v>
      </c>
      <c r="E10" s="66">
        <f>'vermNE HS'!$D$69-G10-F10</f>
        <v>0</v>
      </c>
      <c r="F10" s="66">
        <f>SUMIF('vermNE HS'!$B$38:$B$64,Listen!$A$1,'vermNE HS'!$D$38:$D$64)</f>
        <v>0</v>
      </c>
      <c r="G10" s="206">
        <f>SUMIF('vermNE HS'!$B$38:$B$64,Listen!$A$2,'vermNE HS'!$D$38:$D$64)</f>
        <v>0</v>
      </c>
      <c r="H10" s="207">
        <f t="shared" ref="H10:H15" si="0">SUM(C10:G10)</f>
        <v>0</v>
      </c>
      <c r="I10" s="50"/>
      <c r="J10" s="2"/>
      <c r="K10" s="30"/>
      <c r="L10" s="30"/>
      <c r="M10" s="30"/>
      <c r="N10" s="28">
        <f>H10-SUM(I10:M10)</f>
        <v>0</v>
      </c>
      <c r="O10" s="208">
        <f t="shared" ref="O10:O15" si="1">SUM(I10:N10)</f>
        <v>0</v>
      </c>
      <c r="P10" s="209">
        <f t="shared" ref="P10:P15" si="2">IF(SUM(I10:M10)=0,0,N10/SUM(I10:M10))</f>
        <v>0</v>
      </c>
    </row>
    <row r="11" spans="1:16" x14ac:dyDescent="0.25">
      <c r="A11" s="76" t="s">
        <v>296</v>
      </c>
      <c r="B11" s="205" t="s">
        <v>279</v>
      </c>
      <c r="C11" s="146"/>
      <c r="D11" s="66">
        <f>K10</f>
        <v>0</v>
      </c>
      <c r="E11" s="66">
        <f>'vermNE HM'!$D$69-G11-F11</f>
        <v>0</v>
      </c>
      <c r="F11" s="66">
        <f>SUMIF('vermNE HM'!$B$38:$B$64,Listen!$A$1,'vermNE HM'!$D$38:$D$64)</f>
        <v>0</v>
      </c>
      <c r="G11" s="206">
        <f>SUMIF('vermNE HM'!$B$38:$B$64,Listen!$A$2,'vermNE HM'!$D$38:$D$64)</f>
        <v>0</v>
      </c>
      <c r="H11" s="207">
        <f t="shared" si="0"/>
        <v>0</v>
      </c>
      <c r="I11" s="50"/>
      <c r="J11" s="2"/>
      <c r="K11" s="30"/>
      <c r="L11" s="30"/>
      <c r="M11" s="66">
        <f>G10</f>
        <v>0</v>
      </c>
      <c r="N11" s="28">
        <f>H11-SUM(I11:M11)</f>
        <v>0</v>
      </c>
      <c r="O11" s="208">
        <f t="shared" si="1"/>
        <v>0</v>
      </c>
      <c r="P11" s="209">
        <f t="shared" si="2"/>
        <v>0</v>
      </c>
    </row>
    <row r="12" spans="1:16" x14ac:dyDescent="0.25">
      <c r="A12" s="76" t="s">
        <v>11</v>
      </c>
      <c r="B12" s="205" t="s">
        <v>19</v>
      </c>
      <c r="C12" s="146"/>
      <c r="D12" s="66">
        <f>K11</f>
        <v>0</v>
      </c>
      <c r="E12" s="66">
        <f>'vermNE MS'!$D$69-G12-F12</f>
        <v>0</v>
      </c>
      <c r="F12" s="66">
        <f>SUMIF('vermNE MS'!$B$38:$B$64,Listen!$A$1,'vermNE MS'!$D$38:$D$64)</f>
        <v>0</v>
      </c>
      <c r="G12" s="206">
        <f>SUMIF('vermNE MS'!$B$38:$B$64,Listen!$A$2,'vermNE MS'!$D$38:$D$64)</f>
        <v>0</v>
      </c>
      <c r="H12" s="207">
        <f t="shared" si="0"/>
        <v>0</v>
      </c>
      <c r="I12" s="50"/>
      <c r="J12" s="2"/>
      <c r="K12" s="30"/>
      <c r="L12" s="30"/>
      <c r="M12" s="66">
        <f>G11</f>
        <v>0</v>
      </c>
      <c r="N12" s="28">
        <f>H12-SUM(I12:M12)</f>
        <v>0</v>
      </c>
      <c r="O12" s="208">
        <f t="shared" si="1"/>
        <v>0</v>
      </c>
      <c r="P12" s="209">
        <f t="shared" si="2"/>
        <v>0</v>
      </c>
    </row>
    <row r="13" spans="1:16" x14ac:dyDescent="0.25">
      <c r="A13" s="76" t="s">
        <v>297</v>
      </c>
      <c r="B13" s="205" t="s">
        <v>18</v>
      </c>
      <c r="C13" s="146"/>
      <c r="D13" s="66">
        <f>K12</f>
        <v>0</v>
      </c>
      <c r="E13" s="66">
        <f>'vermNE MN'!$D$69-G13-F13</f>
        <v>0</v>
      </c>
      <c r="F13" s="66">
        <f>SUMIF('vermNE MN'!$B$38:$B$64,Listen!$A$1,'vermNE MN'!$D$38:$D$64)</f>
        <v>0</v>
      </c>
      <c r="G13" s="206">
        <f>SUMIF('vermNE MN'!$B$38:$B$64,Listen!$A$2,'vermNE MN'!$D$38:$D$64)</f>
        <v>0</v>
      </c>
      <c r="H13" s="207">
        <f t="shared" si="0"/>
        <v>0</v>
      </c>
      <c r="I13" s="50"/>
      <c r="J13" s="2"/>
      <c r="K13" s="30"/>
      <c r="L13" s="30"/>
      <c r="M13" s="66">
        <f>G12</f>
        <v>0</v>
      </c>
      <c r="N13" s="28">
        <f>H13-SUM(I13:M13)</f>
        <v>0</v>
      </c>
      <c r="O13" s="208">
        <f t="shared" si="1"/>
        <v>0</v>
      </c>
      <c r="P13" s="209">
        <f t="shared" si="2"/>
        <v>0</v>
      </c>
    </row>
    <row r="14" spans="1:16" x14ac:dyDescent="0.25">
      <c r="A14" s="210" t="s">
        <v>12</v>
      </c>
      <c r="B14" s="211" t="s">
        <v>17</v>
      </c>
      <c r="C14" s="147"/>
      <c r="D14" s="212">
        <f>K13</f>
        <v>0</v>
      </c>
      <c r="E14" s="212">
        <f>'vermNE NS'!$D$69-G14-F14</f>
        <v>0</v>
      </c>
      <c r="F14" s="66">
        <f>SUMIF('vermNE NS'!$B$38:$B$64,Listen!$A$1,'vermNE NS'!$D$38:$D$64)</f>
        <v>0</v>
      </c>
      <c r="G14" s="213"/>
      <c r="H14" s="207">
        <f t="shared" si="0"/>
        <v>0</v>
      </c>
      <c r="I14" s="51"/>
      <c r="J14" s="48"/>
      <c r="K14" s="214"/>
      <c r="L14" s="3"/>
      <c r="M14" s="212">
        <f>G13</f>
        <v>0</v>
      </c>
      <c r="N14" s="29">
        <f>H14-SUM(I14:M14)</f>
        <v>0</v>
      </c>
      <c r="O14" s="208">
        <f t="shared" si="1"/>
        <v>0</v>
      </c>
      <c r="P14" s="209">
        <f t="shared" si="2"/>
        <v>0</v>
      </c>
    </row>
    <row r="15" spans="1:16" ht="15.75" thickBot="1" x14ac:dyDescent="0.3">
      <c r="A15" s="215" t="s">
        <v>500</v>
      </c>
      <c r="B15" s="216"/>
      <c r="C15" s="217">
        <f>SUM(C10:C14)</f>
        <v>0</v>
      </c>
      <c r="D15" s="218">
        <f>D10</f>
        <v>0</v>
      </c>
      <c r="E15" s="218">
        <f>SUM(E10:E14)</f>
        <v>0</v>
      </c>
      <c r="F15" s="218">
        <f>SUM(F10:F14)</f>
        <v>0</v>
      </c>
      <c r="G15" s="219"/>
      <c r="H15" s="220">
        <f t="shared" si="0"/>
        <v>0</v>
      </c>
      <c r="I15" s="217">
        <f>SUM(I10:I14)</f>
        <v>0</v>
      </c>
      <c r="J15" s="218">
        <f>SUM(J10:J14)</f>
        <v>0</v>
      </c>
      <c r="K15" s="221"/>
      <c r="L15" s="218">
        <f>SUM(L10:L14)</f>
        <v>0</v>
      </c>
      <c r="M15" s="218">
        <f>M10</f>
        <v>0</v>
      </c>
      <c r="N15" s="222">
        <f>SUM(N10:N14)</f>
        <v>0</v>
      </c>
      <c r="O15" s="222">
        <f t="shared" si="1"/>
        <v>0</v>
      </c>
      <c r="P15" s="223">
        <f t="shared" si="2"/>
        <v>0</v>
      </c>
    </row>
    <row r="16" spans="1:16" x14ac:dyDescent="0.25">
      <c r="I16" s="66"/>
      <c r="K16" s="66"/>
    </row>
    <row r="17" spans="1:11" x14ac:dyDescent="0.25">
      <c r="I17" s="66"/>
      <c r="K17" s="66"/>
    </row>
    <row r="18" spans="1:11" x14ac:dyDescent="0.25">
      <c r="A18" s="41" t="s">
        <v>423</v>
      </c>
    </row>
    <row r="19" spans="1:11" x14ac:dyDescent="0.25">
      <c r="I19" s="66"/>
      <c r="K19" s="66"/>
    </row>
    <row r="20" spans="1:11" ht="16.5" x14ac:dyDescent="0.3">
      <c r="C20" s="67" t="s">
        <v>104</v>
      </c>
      <c r="D20" s="67" t="s">
        <v>206</v>
      </c>
      <c r="F20" s="67" t="s">
        <v>111</v>
      </c>
      <c r="G20" s="67" t="s">
        <v>106</v>
      </c>
    </row>
    <row r="21" spans="1:11" ht="15.75" thickBot="1" x14ac:dyDescent="0.3">
      <c r="C21" s="66">
        <f>C12</f>
        <v>0</v>
      </c>
      <c r="D21" s="66">
        <f>D12</f>
        <v>0</v>
      </c>
      <c r="F21" s="66">
        <f>M12</f>
        <v>0</v>
      </c>
      <c r="G21" s="66">
        <f>L12</f>
        <v>0</v>
      </c>
    </row>
    <row r="22" spans="1:11" x14ac:dyDescent="0.25">
      <c r="D22" s="73"/>
      <c r="E22" s="74"/>
      <c r="F22" s="75"/>
      <c r="G22" s="67" t="s">
        <v>114</v>
      </c>
    </row>
    <row r="23" spans="1:11" x14ac:dyDescent="0.25">
      <c r="C23" s="67" t="s">
        <v>13</v>
      </c>
      <c r="D23" s="84">
        <f>D27+C27+C24+C21+D21</f>
        <v>0</v>
      </c>
      <c r="E23" s="72" t="s">
        <v>11</v>
      </c>
      <c r="F23" s="85">
        <f>F21+G21+G23+G25+G27+F27</f>
        <v>0</v>
      </c>
      <c r="G23" s="66">
        <f>I12</f>
        <v>0</v>
      </c>
    </row>
    <row r="24" spans="1:11" x14ac:dyDescent="0.25">
      <c r="C24" s="66">
        <f>E12</f>
        <v>0</v>
      </c>
      <c r="D24" s="76"/>
      <c r="E24" s="69"/>
      <c r="F24" s="77"/>
      <c r="G24" s="67" t="s">
        <v>14</v>
      </c>
      <c r="H24" s="224" t="s">
        <v>89</v>
      </c>
    </row>
    <row r="25" spans="1:11" ht="15.75" thickBot="1" x14ac:dyDescent="0.3">
      <c r="D25" s="78"/>
      <c r="E25" s="79"/>
      <c r="F25" s="80"/>
      <c r="G25" s="68">
        <f>(G23+F27+F21+G21+G27)*H25</f>
        <v>0</v>
      </c>
      <c r="H25" s="225">
        <f>P12</f>
        <v>0</v>
      </c>
    </row>
    <row r="26" spans="1:11" ht="16.5" x14ac:dyDescent="0.3">
      <c r="C26" s="67" t="s">
        <v>101</v>
      </c>
      <c r="D26" s="226" t="s">
        <v>110</v>
      </c>
      <c r="F26" s="226" t="s">
        <v>112</v>
      </c>
      <c r="G26" s="67" t="s">
        <v>107</v>
      </c>
      <c r="H26" s="224" t="s">
        <v>28</v>
      </c>
    </row>
    <row r="27" spans="1:11" x14ac:dyDescent="0.25">
      <c r="C27" s="68">
        <f>F12</f>
        <v>0</v>
      </c>
      <c r="D27" s="66">
        <f>G12</f>
        <v>0</v>
      </c>
      <c r="F27" s="66">
        <f>K12</f>
        <v>0</v>
      </c>
      <c r="G27" s="66">
        <f>J12</f>
        <v>0</v>
      </c>
      <c r="H27" s="227">
        <f>'vermNE MS'!C14</f>
        <v>0</v>
      </c>
    </row>
    <row r="29" spans="1:11" ht="16.5" x14ac:dyDescent="0.3">
      <c r="C29" s="67" t="s">
        <v>106</v>
      </c>
      <c r="D29" s="67" t="s">
        <v>111</v>
      </c>
      <c r="F29" s="67" t="s">
        <v>206</v>
      </c>
      <c r="G29" s="67" t="s">
        <v>104</v>
      </c>
    </row>
    <row r="30" spans="1:11" ht="15.75" thickBot="1" x14ac:dyDescent="0.3">
      <c r="C30" s="66">
        <f>L13</f>
        <v>0</v>
      </c>
      <c r="D30" s="66">
        <f>D27</f>
        <v>0</v>
      </c>
      <c r="F30" s="66">
        <f>F27</f>
        <v>0</v>
      </c>
      <c r="G30" s="66">
        <f>C13</f>
        <v>0</v>
      </c>
    </row>
    <row r="31" spans="1:11" x14ac:dyDescent="0.25">
      <c r="C31" s="67" t="s">
        <v>114</v>
      </c>
      <c r="D31" s="81"/>
      <c r="E31" s="82"/>
      <c r="F31" s="83"/>
    </row>
    <row r="32" spans="1:11" x14ac:dyDescent="0.25">
      <c r="C32" s="66">
        <f>I13</f>
        <v>0</v>
      </c>
      <c r="D32" s="84">
        <f>D36+C36+C34+C32+C30+D30</f>
        <v>0</v>
      </c>
      <c r="E32" s="71" t="s">
        <v>297</v>
      </c>
      <c r="F32" s="85">
        <f>F30+G30+G33+G36+F36</f>
        <v>0</v>
      </c>
      <c r="G32" s="67" t="s">
        <v>13</v>
      </c>
    </row>
    <row r="33" spans="2:8" x14ac:dyDescent="0.25">
      <c r="B33" s="224" t="s">
        <v>89</v>
      </c>
      <c r="C33" s="67" t="s">
        <v>14</v>
      </c>
      <c r="D33" s="86"/>
      <c r="E33" s="71"/>
      <c r="F33" s="87"/>
      <c r="G33" s="66">
        <f>E13</f>
        <v>0</v>
      </c>
    </row>
    <row r="34" spans="2:8" ht="15.75" thickBot="1" x14ac:dyDescent="0.3">
      <c r="B34" s="225">
        <f>P13</f>
        <v>0</v>
      </c>
      <c r="C34" s="68">
        <f>(C32+D36+D30+C30+C36)*B34</f>
        <v>0</v>
      </c>
      <c r="D34" s="88"/>
      <c r="E34" s="79"/>
      <c r="F34" s="89"/>
    </row>
    <row r="35" spans="2:8" ht="16.5" x14ac:dyDescent="0.3">
      <c r="B35" s="224" t="s">
        <v>28</v>
      </c>
      <c r="C35" s="67" t="s">
        <v>107</v>
      </c>
      <c r="D35" s="226" t="s">
        <v>112</v>
      </c>
      <c r="E35" s="71"/>
      <c r="F35" s="226" t="s">
        <v>110</v>
      </c>
      <c r="G35" s="67" t="s">
        <v>101</v>
      </c>
    </row>
    <row r="36" spans="2:8" x14ac:dyDescent="0.25">
      <c r="B36" s="227">
        <f>'vermNE MN'!C14</f>
        <v>0</v>
      </c>
      <c r="C36" s="66">
        <f>J13</f>
        <v>0</v>
      </c>
      <c r="D36" s="66">
        <f>K13</f>
        <v>0</v>
      </c>
      <c r="E36" s="71"/>
      <c r="F36" s="66">
        <f>G13</f>
        <v>0</v>
      </c>
      <c r="G36" s="68">
        <f>F13</f>
        <v>0</v>
      </c>
    </row>
    <row r="38" spans="2:8" ht="16.5" x14ac:dyDescent="0.3">
      <c r="C38" s="67" t="s">
        <v>104</v>
      </c>
      <c r="D38" s="67" t="s">
        <v>206</v>
      </c>
      <c r="E38" s="71"/>
      <c r="F38" s="67" t="s">
        <v>111</v>
      </c>
      <c r="G38" s="67" t="s">
        <v>106</v>
      </c>
    </row>
    <row r="39" spans="2:8" ht="15.75" thickBot="1" x14ac:dyDescent="0.3">
      <c r="C39" s="66">
        <f>C14</f>
        <v>0</v>
      </c>
      <c r="D39" s="66">
        <f>D36</f>
        <v>0</v>
      </c>
      <c r="E39" s="71"/>
      <c r="F39" s="66">
        <f>F36</f>
        <v>0</v>
      </c>
      <c r="G39" s="66">
        <f>L14</f>
        <v>0</v>
      </c>
    </row>
    <row r="40" spans="2:8" x14ac:dyDescent="0.25">
      <c r="C40" s="70"/>
      <c r="D40" s="81"/>
      <c r="E40" s="82"/>
      <c r="F40" s="83"/>
      <c r="G40" s="67" t="s">
        <v>114</v>
      </c>
    </row>
    <row r="41" spans="2:8" x14ac:dyDescent="0.25">
      <c r="C41" s="67" t="s">
        <v>13</v>
      </c>
      <c r="D41" s="84">
        <f>C45+C42+C39+D39</f>
        <v>0</v>
      </c>
      <c r="E41" s="71" t="s">
        <v>12</v>
      </c>
      <c r="F41" s="85">
        <f>F39+G39+G41+G43+G45+F45</f>
        <v>0</v>
      </c>
      <c r="G41" s="66">
        <f>I14</f>
        <v>0</v>
      </c>
    </row>
    <row r="42" spans="2:8" x14ac:dyDescent="0.25">
      <c r="C42" s="66">
        <f>E14</f>
        <v>0</v>
      </c>
      <c r="D42" s="86"/>
      <c r="E42" s="71"/>
      <c r="F42" s="87"/>
      <c r="G42" s="228" t="s">
        <v>14</v>
      </c>
      <c r="H42" s="224" t="s">
        <v>89</v>
      </c>
    </row>
    <row r="43" spans="2:8" ht="15.75" thickBot="1" x14ac:dyDescent="0.3">
      <c r="D43" s="88"/>
      <c r="E43" s="90"/>
      <c r="F43" s="80"/>
      <c r="G43" s="68">
        <f>N14</f>
        <v>0</v>
      </c>
      <c r="H43" s="225">
        <f>P14</f>
        <v>0</v>
      </c>
    </row>
    <row r="44" spans="2:8" ht="16.5" x14ac:dyDescent="0.3">
      <c r="C44" s="67" t="s">
        <v>101</v>
      </c>
      <c r="D44" s="67"/>
      <c r="E44" s="71"/>
      <c r="F44" s="67"/>
      <c r="G44" s="67" t="s">
        <v>107</v>
      </c>
      <c r="H44" s="224" t="s">
        <v>28</v>
      </c>
    </row>
    <row r="45" spans="2:8" x14ac:dyDescent="0.25">
      <c r="C45" s="68">
        <f>F14</f>
        <v>0</v>
      </c>
      <c r="D45" s="66"/>
      <c r="E45" s="71"/>
      <c r="F45" s="66"/>
      <c r="G45" s="66">
        <f>J14</f>
        <v>0</v>
      </c>
      <c r="H45" s="227">
        <f>'vermNE NS'!C14</f>
        <v>0</v>
      </c>
    </row>
  </sheetData>
  <sheetProtection algorithmName="SHA-512" hashValue="lsqJegLl8nJZbJkwRxrsn2p16KeReQ6lo1lP9uKzThWsowgHYGvNr4kUUtYXJHIFGi/quT5vY+YS7XdYCDdtWA==" saltValue="8HO6vbUVHETsprEQeIA0jQ==" spinCount="100000" sheet="1" objects="1" scenarios="1" formatCells="0"/>
  <phoneticPr fontId="4" type="noConversion"/>
  <conditionalFormatting sqref="P10:P14">
    <cfRule type="cellIs" dxfId="600" priority="33" operator="equal">
      <formula>0</formula>
    </cfRule>
  </conditionalFormatting>
  <conditionalFormatting sqref="N10:N14">
    <cfRule type="expression" dxfId="599" priority="236">
      <formula>N10&lt;0</formula>
    </cfRule>
  </conditionalFormatting>
  <conditionalFormatting sqref="M10:M14">
    <cfRule type="expression" dxfId="598" priority="17">
      <formula>M10&lt;0</formula>
    </cfRule>
  </conditionalFormatting>
  <conditionalFormatting sqref="F27">
    <cfRule type="expression" dxfId="597" priority="16">
      <formula>F27&lt;0</formula>
    </cfRule>
  </conditionalFormatting>
  <conditionalFormatting sqref="D27">
    <cfRule type="expression" dxfId="596" priority="15">
      <formula>D27&lt;0</formula>
    </cfRule>
  </conditionalFormatting>
  <conditionalFormatting sqref="D36">
    <cfRule type="expression" dxfId="595" priority="14">
      <formula>D36&lt;0</formula>
    </cfRule>
  </conditionalFormatting>
  <conditionalFormatting sqref="F36">
    <cfRule type="expression" dxfId="594" priority="13">
      <formula>F36&lt;0</formula>
    </cfRule>
  </conditionalFormatting>
  <conditionalFormatting sqref="K13">
    <cfRule type="expression" dxfId="593" priority="12">
      <formula>K13&lt;0</formula>
    </cfRule>
  </conditionalFormatting>
  <conditionalFormatting sqref="K10:K13">
    <cfRule type="expression" dxfId="592" priority="11">
      <formula>K10&lt;0</formula>
    </cfRule>
  </conditionalFormatting>
  <conditionalFormatting sqref="D23 D32 D41">
    <cfRule type="expression" dxfId="591" priority="7">
      <formula>ABS(D23-F23)&gt;1</formula>
    </cfRule>
  </conditionalFormatting>
  <conditionalFormatting sqref="F23 F32 F41">
    <cfRule type="expression" dxfId="590" priority="5">
      <formula>ABS(D23-F23)&gt;1</formula>
    </cfRule>
  </conditionalFormatting>
  <conditionalFormatting sqref="H10:H14 O10:O14">
    <cfRule type="expression" dxfId="589" priority="3399">
      <formula>ABS($O10-$H10)&lt;0.01</formula>
    </cfRule>
    <cfRule type="expression" dxfId="588" priority="3400">
      <formula>ABS($O10-$H10)&gt;=3</formula>
    </cfRule>
  </conditionalFormatting>
  <printOptions horizontalCentered="1"/>
  <pageMargins left="0.39370078740157483" right="0.39370078740157483" top="0.39370078740157483" bottom="0.39370078740157483" header="0.51181102362204722" footer="0.51181102362204722"/>
  <pageSetup paperSize="9" scale="84" fitToWidth="2" orientation="landscape" r:id="rId1"/>
  <headerFooter alignWithMargins="0">
    <oddFooter>&amp;RSeite &amp;P von &amp;N</oddFooter>
  </headerFooter>
  <colBreaks count="1" manualBreakCount="1">
    <brk id="8" max="1048575" man="1"/>
  </col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FFFF99"/>
  </sheetPr>
  <dimension ref="A1:F25"/>
  <sheetViews>
    <sheetView workbookViewId="0"/>
  </sheetViews>
  <sheetFormatPr baseColWidth="10" defaultColWidth="11.42578125" defaultRowHeight="15" x14ac:dyDescent="0.25"/>
  <cols>
    <col min="1" max="1" width="69.7109375" style="8" customWidth="1"/>
    <col min="2" max="2" width="17.7109375" style="8" customWidth="1"/>
    <col min="3" max="3" width="31.7109375" style="8" bestFit="1" customWidth="1"/>
    <col min="4" max="4" width="3.7109375" style="8" customWidth="1"/>
    <col min="5" max="5" width="69.7109375" style="8" customWidth="1"/>
    <col min="6" max="6" width="17.7109375" style="8" customWidth="1"/>
    <col min="7" max="16384" width="11.42578125" style="8"/>
  </cols>
  <sheetData>
    <row r="1" spans="1:6" x14ac:dyDescent="0.25">
      <c r="A1" s="4" t="str">
        <f>Allgemeines!B27</f>
        <v>XY GmbH</v>
      </c>
      <c r="B1" s="7"/>
      <c r="C1" s="7"/>
      <c r="D1" s="7"/>
      <c r="E1" s="7"/>
      <c r="F1" s="7"/>
    </row>
    <row r="2" spans="1:6" x14ac:dyDescent="0.25">
      <c r="A2" s="45"/>
    </row>
    <row r="3" spans="1:6" x14ac:dyDescent="0.25">
      <c r="A3" s="9" t="s">
        <v>441</v>
      </c>
    </row>
    <row r="4" spans="1:6" x14ac:dyDescent="0.25">
      <c r="A4" s="9" t="s">
        <v>69</v>
      </c>
    </row>
    <row r="5" spans="1:6" x14ac:dyDescent="0.25">
      <c r="A5" s="9"/>
    </row>
    <row r="6" spans="1:6" ht="75" customHeight="1" x14ac:dyDescent="0.25">
      <c r="A6" s="738" t="s">
        <v>312</v>
      </c>
      <c r="B6" s="738"/>
      <c r="C6" s="738"/>
      <c r="D6" s="738"/>
      <c r="E6" s="738"/>
      <c r="F6" s="738"/>
    </row>
    <row r="8" spans="1:6" ht="23.25" x14ac:dyDescent="0.25">
      <c r="A8" s="10" t="s">
        <v>19</v>
      </c>
      <c r="B8" s="11" t="s">
        <v>35</v>
      </c>
      <c r="E8" s="42"/>
      <c r="F8" s="11" t="s">
        <v>35</v>
      </c>
    </row>
    <row r="9" spans="1:6" x14ac:dyDescent="0.25">
      <c r="A9" s="12" t="s">
        <v>51</v>
      </c>
      <c r="B9" s="57">
        <v>42507</v>
      </c>
      <c r="E9" s="13" t="s">
        <v>36</v>
      </c>
      <c r="F9" s="14">
        <f>IF(B9="","noch einzutragen",B9)</f>
        <v>42507</v>
      </c>
    </row>
    <row r="10" spans="1:6" x14ac:dyDescent="0.25">
      <c r="A10" s="12"/>
      <c r="B10" s="14" t="s">
        <v>9</v>
      </c>
      <c r="E10" s="13"/>
      <c r="F10" s="14" t="s">
        <v>9</v>
      </c>
    </row>
    <row r="11" spans="1:6" x14ac:dyDescent="0.25">
      <c r="A11" s="15" t="s">
        <v>120</v>
      </c>
      <c r="B11" s="97"/>
      <c r="E11" s="16" t="str">
        <f t="shared" ref="E11:E16" si="0">A11</f>
        <v>Lastgänge Bezug in NE5 von der eigenen NE4</v>
      </c>
      <c r="F11" s="102">
        <f t="shared" ref="F11:F16" si="1">B11</f>
        <v>0</v>
      </c>
    </row>
    <row r="12" spans="1:6" x14ac:dyDescent="0.25">
      <c r="A12" s="17" t="s">
        <v>121</v>
      </c>
      <c r="B12" s="97"/>
      <c r="E12" s="16" t="str">
        <f t="shared" si="0"/>
        <v>+ Lastgänge Bezug in NE5 von fremden Netzen</v>
      </c>
      <c r="F12" s="102">
        <f t="shared" si="1"/>
        <v>0</v>
      </c>
    </row>
    <row r="13" spans="1:6" x14ac:dyDescent="0.25">
      <c r="A13" s="17" t="s">
        <v>122</v>
      </c>
      <c r="B13" s="97"/>
      <c r="E13" s="16" t="str">
        <f t="shared" si="0"/>
        <v>+ Lastgänge dezentrale Einspeisungen in NE5 aus Erzeugungsanlagen</v>
      </c>
      <c r="F13" s="102">
        <f t="shared" si="1"/>
        <v>0</v>
      </c>
    </row>
    <row r="14" spans="1:6" x14ac:dyDescent="0.25">
      <c r="A14" s="17" t="s">
        <v>126</v>
      </c>
      <c r="B14" s="97"/>
      <c r="E14" s="16" t="str">
        <f t="shared" si="0"/>
        <v>+ Lastgänge Rückspeisung in NE5 von fremden Netzen</v>
      </c>
      <c r="F14" s="102">
        <f t="shared" si="1"/>
        <v>0</v>
      </c>
    </row>
    <row r="15" spans="1:6" x14ac:dyDescent="0.25">
      <c r="A15" s="18" t="s">
        <v>198</v>
      </c>
      <c r="B15" s="98"/>
      <c r="E15" s="16" t="str">
        <f>A15</f>
        <v>- Lastgänge Überspeisung aus NE5 in fremde Netze</v>
      </c>
      <c r="F15" s="102">
        <f>B15</f>
        <v>0</v>
      </c>
    </row>
    <row r="16" spans="1:6" x14ac:dyDescent="0.25">
      <c r="A16" s="17" t="s">
        <v>197</v>
      </c>
      <c r="B16" s="98"/>
      <c r="E16" s="16" t="str">
        <f t="shared" si="0"/>
        <v>- Lastgänge Überspeisung aus NE5 in die eigene NE4</v>
      </c>
      <c r="F16" s="102">
        <f t="shared" si="1"/>
        <v>0</v>
      </c>
    </row>
    <row r="17" spans="1:6" s="19" customFormat="1" x14ac:dyDescent="0.25">
      <c r="A17" s="32" t="s">
        <v>489</v>
      </c>
      <c r="B17" s="99">
        <f>-F22</f>
        <v>0</v>
      </c>
      <c r="C17" s="19" t="s">
        <v>37</v>
      </c>
      <c r="E17" s="18" t="s">
        <v>310</v>
      </c>
      <c r="F17" s="98"/>
    </row>
    <row r="18" spans="1:6" x14ac:dyDescent="0.25">
      <c r="A18" s="37" t="s">
        <v>38</v>
      </c>
      <c r="B18" s="100">
        <f>SUM(B11:B17)</f>
        <v>0</v>
      </c>
      <c r="C18" s="21" t="s">
        <v>77</v>
      </c>
      <c r="E18" s="18" t="s">
        <v>311</v>
      </c>
      <c r="F18" s="97"/>
    </row>
    <row r="19" spans="1:6" s="34" customFormat="1" ht="15" customHeight="1" x14ac:dyDescent="0.25">
      <c r="A19" s="22" t="s">
        <v>65</v>
      </c>
      <c r="B19" s="97"/>
      <c r="C19" s="8"/>
      <c r="E19" s="35" t="str">
        <f>A19</f>
        <v>- Lastgang Verluste in NE5 (Schätzung)</v>
      </c>
      <c r="F19" s="103">
        <f>B19</f>
        <v>0</v>
      </c>
    </row>
    <row r="20" spans="1:6" s="34" customFormat="1" x14ac:dyDescent="0.2">
      <c r="A20" s="33" t="s">
        <v>39</v>
      </c>
      <c r="B20" s="101">
        <f>SUM(B18:B19)</f>
        <v>0</v>
      </c>
      <c r="C20" s="36" t="s">
        <v>505</v>
      </c>
      <c r="E20" s="39" t="s">
        <v>128</v>
      </c>
      <c r="F20" s="104">
        <f>SUM(F11:F19)</f>
        <v>0</v>
      </c>
    </row>
    <row r="21" spans="1:6" ht="45" x14ac:dyDescent="0.25">
      <c r="A21" s="23"/>
      <c r="B21" s="24"/>
      <c r="E21" s="693" t="s">
        <v>492</v>
      </c>
      <c r="F21" s="103">
        <f>IF(F20&gt;0,F20,0)</f>
        <v>0</v>
      </c>
    </row>
    <row r="22" spans="1:6" s="34" customFormat="1" ht="45" x14ac:dyDescent="0.2">
      <c r="A22" s="43"/>
      <c r="B22" s="44"/>
      <c r="C22" s="53"/>
      <c r="E22" s="54" t="s">
        <v>490</v>
      </c>
      <c r="F22" s="105">
        <f>IF(F20&lt;0,F20,0)</f>
        <v>0</v>
      </c>
    </row>
    <row r="23" spans="1:6" x14ac:dyDescent="0.25">
      <c r="A23" s="23"/>
      <c r="B23" s="24"/>
      <c r="C23" s="36"/>
      <c r="E23" s="19"/>
    </row>
    <row r="24" spans="1:6" x14ac:dyDescent="0.25">
      <c r="A24" s="23"/>
      <c r="B24" s="24"/>
      <c r="E24" s="25"/>
    </row>
    <row r="25" spans="1:6" x14ac:dyDescent="0.25">
      <c r="A25" s="23"/>
      <c r="B25" s="24"/>
    </row>
  </sheetData>
  <sheetProtection algorithmName="SHA-512" hashValue="rW9l0vi2p9BvwrzDhstrdzH8NchTvohSGbhwCw2dQ0QCoq2GLhp/xHdPefUS3QtedVaVI2ySYgeyM0eHOHAZeA==" saltValue="vUJAs/pja1/a7ebyLba8qA==" spinCount="100000" sheet="1" objects="1" scenarios="1" formatCells="0"/>
  <mergeCells count="1">
    <mergeCell ref="A6:F6"/>
  </mergeCells>
  <dataValidations count="1">
    <dataValidation type="decimal" operator="lessThanOrEqual" allowBlank="1" showInputMessage="1" showErrorMessage="1" error="Wert bitte negativ eingeben" prompt="Wert bitte negativ eingeben" sqref="B19 F17:F19 B15:B16" xr:uid="{00000000-0002-0000-0200-000000000000}">
      <formula1>0</formula1>
    </dataValidation>
  </dataValidations>
  <printOptions horizontalCentered="1"/>
  <pageMargins left="0.19685039370078741" right="0.19685039370078741" top="0.78740157480314965" bottom="0.78740157480314965" header="0.31496062992125984" footer="0.31496062992125984"/>
  <pageSetup paperSize="9" scale="69" orientation="landscape" r:id="rId1"/>
  <headerFooter>
    <oddFooter>&amp;C&amp;D</oddFooter>
  </headerFooter>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FFFF99"/>
  </sheetPr>
  <dimension ref="A1:F48"/>
  <sheetViews>
    <sheetView workbookViewId="0"/>
  </sheetViews>
  <sheetFormatPr baseColWidth="10" defaultColWidth="11.42578125" defaultRowHeight="15" x14ac:dyDescent="0.25"/>
  <cols>
    <col min="1" max="1" width="69.7109375" style="8" customWidth="1"/>
    <col min="2" max="2" width="17.7109375" style="8" customWidth="1"/>
    <col min="3" max="3" width="31.7109375" style="8" customWidth="1"/>
    <col min="4" max="4" width="3.7109375" style="8" customWidth="1"/>
    <col min="5" max="5" width="69.7109375" style="8" customWidth="1"/>
    <col min="6" max="6" width="17.7109375" style="8" customWidth="1"/>
    <col min="7" max="16384" width="11.42578125" style="8"/>
  </cols>
  <sheetData>
    <row r="1" spans="1:6" x14ac:dyDescent="0.25">
      <c r="A1" s="7" t="str">
        <f>'JHL MS'!A1</f>
        <v>XY GmbH</v>
      </c>
      <c r="B1" s="7"/>
      <c r="C1" s="7"/>
      <c r="D1" s="7"/>
      <c r="E1" s="7"/>
      <c r="F1" s="7"/>
    </row>
    <row r="2" spans="1:6" x14ac:dyDescent="0.25">
      <c r="A2" s="45"/>
    </row>
    <row r="3" spans="1:6" x14ac:dyDescent="0.25">
      <c r="A3" s="9" t="s">
        <v>442</v>
      </c>
    </row>
    <row r="4" spans="1:6" x14ac:dyDescent="0.25">
      <c r="A4" s="9" t="s">
        <v>76</v>
      </c>
    </row>
    <row r="5" spans="1:6" x14ac:dyDescent="0.25">
      <c r="A5" s="9"/>
    </row>
    <row r="6" spans="1:6" ht="105" customHeight="1" x14ac:dyDescent="0.25">
      <c r="A6" s="738" t="s">
        <v>313</v>
      </c>
      <c r="B6" s="738"/>
      <c r="C6" s="738"/>
      <c r="D6" s="738"/>
      <c r="E6" s="738"/>
      <c r="F6" s="738"/>
    </row>
    <row r="8" spans="1:6" ht="23.25" x14ac:dyDescent="0.25">
      <c r="A8" s="10" t="s">
        <v>19</v>
      </c>
      <c r="B8" s="11" t="s">
        <v>40</v>
      </c>
      <c r="E8" s="42"/>
      <c r="F8" s="11" t="s">
        <v>40</v>
      </c>
    </row>
    <row r="9" spans="1:6" x14ac:dyDescent="0.25">
      <c r="A9" s="229" t="str">
        <f>A25</f>
        <v>Zeitpunkt des Maximums des Summenlastgangs der Entnahmen aus NE6</v>
      </c>
      <c r="B9" s="14" t="str">
        <f>IF(B25="","noch einzutragen",B25)</f>
        <v>noch einzutragen</v>
      </c>
      <c r="E9" s="13" t="s">
        <v>36</v>
      </c>
      <c r="F9" s="14" t="str">
        <f>B9</f>
        <v>noch einzutragen</v>
      </c>
    </row>
    <row r="10" spans="1:6" x14ac:dyDescent="0.25">
      <c r="A10" s="229"/>
      <c r="B10" s="14" t="s">
        <v>9</v>
      </c>
      <c r="E10" s="13"/>
      <c r="F10" s="14" t="s">
        <v>9</v>
      </c>
    </row>
    <row r="11" spans="1:6" x14ac:dyDescent="0.25">
      <c r="A11" s="15" t="str">
        <f>'JHL MS'!A11</f>
        <v>Lastgänge Bezug in NE5 von der eigenen NE4</v>
      </c>
      <c r="B11" s="96"/>
      <c r="E11" s="16" t="str">
        <f>'JHL MS'!E11</f>
        <v>Lastgänge Bezug in NE5 von der eigenen NE4</v>
      </c>
      <c r="F11" s="102">
        <f t="shared" ref="F11:F16" si="0">B11</f>
        <v>0</v>
      </c>
    </row>
    <row r="12" spans="1:6" x14ac:dyDescent="0.25">
      <c r="A12" s="17" t="str">
        <f>'JHL MS'!A12</f>
        <v>+ Lastgänge Bezug in NE5 von fremden Netzen</v>
      </c>
      <c r="B12" s="97"/>
      <c r="E12" s="16" t="str">
        <f>'JHL MS'!E12</f>
        <v>+ Lastgänge Bezug in NE5 von fremden Netzen</v>
      </c>
      <c r="F12" s="102">
        <f t="shared" si="0"/>
        <v>0</v>
      </c>
    </row>
    <row r="13" spans="1:6" x14ac:dyDescent="0.25">
      <c r="A13" s="17" t="str">
        <f>'JHL MS'!A13</f>
        <v>+ Lastgänge dezentrale Einspeisungen in NE5 aus Erzeugungsanlagen</v>
      </c>
      <c r="B13" s="97"/>
      <c r="E13" s="16" t="str">
        <f>'JHL MS'!E13</f>
        <v>+ Lastgänge dezentrale Einspeisungen in NE5 aus Erzeugungsanlagen</v>
      </c>
      <c r="F13" s="102">
        <f t="shared" si="0"/>
        <v>0</v>
      </c>
    </row>
    <row r="14" spans="1:6" x14ac:dyDescent="0.25">
      <c r="A14" s="17" t="str">
        <f>'JHL MS'!A14</f>
        <v>+ Lastgänge Rückspeisung in NE5 von fremden Netzen</v>
      </c>
      <c r="B14" s="97"/>
      <c r="E14" s="16" t="str">
        <f>'JHL MS'!E14</f>
        <v>+ Lastgänge Rückspeisung in NE5 von fremden Netzen</v>
      </c>
      <c r="F14" s="102">
        <f t="shared" si="0"/>
        <v>0</v>
      </c>
    </row>
    <row r="15" spans="1:6" x14ac:dyDescent="0.25">
      <c r="A15" s="18" t="str">
        <f>'JHL MS'!A15</f>
        <v>- Lastgänge Überspeisung aus NE5 in fremde Netze</v>
      </c>
      <c r="B15" s="98"/>
      <c r="E15" s="16" t="str">
        <f>'JHL MS'!E15</f>
        <v>- Lastgänge Überspeisung aus NE5 in fremde Netze</v>
      </c>
      <c r="F15" s="102">
        <f>B15</f>
        <v>0</v>
      </c>
    </row>
    <row r="16" spans="1:6" x14ac:dyDescent="0.25">
      <c r="A16" s="15" t="str">
        <f>'JHL MS'!A16</f>
        <v>- Lastgänge Überspeisung aus NE5 in die eigene NE4</v>
      </c>
      <c r="B16" s="98"/>
      <c r="E16" s="16" t="str">
        <f>'JHL MS'!E16</f>
        <v>- Lastgänge Überspeisung aus NE5 in die eigene NE4</v>
      </c>
      <c r="F16" s="102">
        <f t="shared" si="0"/>
        <v>0</v>
      </c>
    </row>
    <row r="17" spans="1:6" s="19" customFormat="1" x14ac:dyDescent="0.25">
      <c r="A17" s="32" t="str">
        <f>'JHL MS'!A17</f>
        <v>+ Lastgänge Rückspeisung in eigene NE5 aus eigener NE6 (positive Werte)</v>
      </c>
      <c r="B17" s="99">
        <f>-F22</f>
        <v>0</v>
      </c>
      <c r="C17" s="19" t="s">
        <v>37</v>
      </c>
      <c r="E17" s="18" t="str">
        <f>'JHL MS'!E17</f>
        <v>- Lastgänge Abgabe aus NE5 an Letztverbraucher</v>
      </c>
      <c r="F17" s="98"/>
    </row>
    <row r="18" spans="1:6" x14ac:dyDescent="0.25">
      <c r="A18" s="20" t="str">
        <f>'JHL MS'!A18</f>
        <v>= Summenlastgang der Entnahmen aus NE5 inkl. Verluste</v>
      </c>
      <c r="B18" s="106">
        <f>SUM(B11:B17)</f>
        <v>0</v>
      </c>
      <c r="C18" s="21"/>
      <c r="E18" s="18" t="str">
        <f>'JHL MS'!E18</f>
        <v>- Lastgänge Abgabe aus NE5 an fremde Netze</v>
      </c>
      <c r="F18" s="97"/>
    </row>
    <row r="19" spans="1:6" x14ac:dyDescent="0.25">
      <c r="A19" s="22" t="str">
        <f>'JHL MS'!A19</f>
        <v>- Lastgang Verluste in NE5 (Schätzung)</v>
      </c>
      <c r="B19" s="97"/>
      <c r="D19" s="34"/>
      <c r="E19" s="35" t="str">
        <f>'JHL MS'!E19</f>
        <v>- Lastgang Verluste in NE5 (Schätzung)</v>
      </c>
      <c r="F19" s="103">
        <f>B19</f>
        <v>0</v>
      </c>
    </row>
    <row r="20" spans="1:6" x14ac:dyDescent="0.25">
      <c r="A20" s="33" t="str">
        <f>'JHL MS'!A20</f>
        <v>= Summenlastgang der Entnahmen aus NE5 ohne Verluste</v>
      </c>
      <c r="B20" s="101">
        <f>SUM(B18:B19)</f>
        <v>0</v>
      </c>
      <c r="C20" s="36"/>
      <c r="E20" s="16" t="str">
        <f>'JHL MS'!E20</f>
        <v>Lastgänge Übergabe in NE6</v>
      </c>
      <c r="F20" s="106">
        <f>SUM(F11:F19)</f>
        <v>0</v>
      </c>
    </row>
    <row r="21" spans="1:6" ht="45" customHeight="1" x14ac:dyDescent="0.25">
      <c r="A21" s="43"/>
      <c r="B21" s="44"/>
      <c r="E21" s="693" t="str">
        <f>'JHL MS'!E21</f>
        <v>davon positive Werte: 
Lastgänge Bezug in eigener NE6 von eigener NE5 = 
= Lastgänge Abgabe an eigene NE6 von eigener NE5</v>
      </c>
      <c r="F21" s="103">
        <f>IF(F20&gt;0,F20,0)</f>
        <v>0</v>
      </c>
    </row>
    <row r="22" spans="1:6" ht="44.25" customHeight="1" x14ac:dyDescent="0.25">
      <c r="A22" s="43"/>
      <c r="B22" s="44"/>
      <c r="C22" s="9"/>
      <c r="E22" s="52" t="str">
        <f>'JHL MS'!E22</f>
        <v>davon negative Werte: 
Lastgänge Rückspeisung in eigene NE5 aus eigener NE6 =
 = Lastgänge Überspeisung in eigene NE5 aus eigener NE6</v>
      </c>
      <c r="F22" s="105">
        <f>IF(F20&lt;0,F20,0)</f>
        <v>0</v>
      </c>
    </row>
    <row r="23" spans="1:6" x14ac:dyDescent="0.25">
      <c r="A23" s="23"/>
      <c r="B23" s="24"/>
      <c r="E23" s="19"/>
    </row>
    <row r="24" spans="1:6" x14ac:dyDescent="0.25">
      <c r="A24" s="13" t="s">
        <v>18</v>
      </c>
      <c r="B24" s="230"/>
      <c r="E24" s="19"/>
    </row>
    <row r="25" spans="1:6" x14ac:dyDescent="0.25">
      <c r="A25" s="12" t="s">
        <v>41</v>
      </c>
      <c r="B25" s="57"/>
      <c r="E25" s="13" t="s">
        <v>42</v>
      </c>
      <c r="F25" s="14" t="str">
        <f>F9</f>
        <v>noch einzutragen</v>
      </c>
    </row>
    <row r="26" spans="1:6" x14ac:dyDescent="0.25">
      <c r="A26" s="231"/>
      <c r="B26" s="232" t="s">
        <v>9</v>
      </c>
      <c r="E26" s="233"/>
      <c r="F26" s="232" t="s">
        <v>9</v>
      </c>
    </row>
    <row r="27" spans="1:6" x14ac:dyDescent="0.25">
      <c r="A27" s="234" t="s">
        <v>494</v>
      </c>
      <c r="B27" s="102">
        <f>F21</f>
        <v>0</v>
      </c>
      <c r="C27" s="8" t="s">
        <v>37</v>
      </c>
      <c r="E27" s="235" t="str">
        <f t="shared" ref="E27:F32" si="1">A27</f>
        <v>Lastgänge Bezug in eigener NE6 von eigener NE5</v>
      </c>
      <c r="F27" s="106">
        <f t="shared" si="1"/>
        <v>0</v>
      </c>
    </row>
    <row r="28" spans="1:6" x14ac:dyDescent="0.25">
      <c r="A28" s="18" t="s">
        <v>124</v>
      </c>
      <c r="B28" s="97"/>
      <c r="E28" s="236" t="str">
        <f t="shared" si="1"/>
        <v>+ Lastgänge Bezug in NE6 von fremden Netzen</v>
      </c>
      <c r="F28" s="102">
        <f t="shared" si="1"/>
        <v>0</v>
      </c>
    </row>
    <row r="29" spans="1:6" s="19" customFormat="1" x14ac:dyDescent="0.25">
      <c r="A29" s="18" t="s">
        <v>123</v>
      </c>
      <c r="B29" s="97"/>
      <c r="E29" s="237" t="str">
        <f t="shared" si="1"/>
        <v>+ Lastgänge dezentrale Einspeisungen in NE6 aus Erzeugungsanlagen</v>
      </c>
      <c r="F29" s="102">
        <f t="shared" si="1"/>
        <v>0</v>
      </c>
    </row>
    <row r="30" spans="1:6" s="19" customFormat="1" x14ac:dyDescent="0.25">
      <c r="A30" s="17" t="s">
        <v>127</v>
      </c>
      <c r="B30" s="97"/>
      <c r="E30" s="237" t="str">
        <f t="shared" si="1"/>
        <v>+ Lastgänge Rückspeisung in NE6 von fremden Netzen</v>
      </c>
      <c r="F30" s="102">
        <f t="shared" si="1"/>
        <v>0</v>
      </c>
    </row>
    <row r="31" spans="1:6" s="19" customFormat="1" x14ac:dyDescent="0.25">
      <c r="A31" s="18" t="s">
        <v>199</v>
      </c>
      <c r="B31" s="97"/>
      <c r="E31" s="237" t="str">
        <f>A31</f>
        <v>- Lastgänge Überspeisungen aus NE6 in fremde Netze</v>
      </c>
      <c r="F31" s="102">
        <f>B31</f>
        <v>0</v>
      </c>
    </row>
    <row r="32" spans="1:6" x14ac:dyDescent="0.25">
      <c r="A32" s="238" t="s">
        <v>491</v>
      </c>
      <c r="B32" s="102">
        <f>F22</f>
        <v>0</v>
      </c>
      <c r="C32" s="8" t="s">
        <v>37</v>
      </c>
      <c r="E32" s="238" t="str">
        <f>A32</f>
        <v>- Lastgänge Überspeisung in eigene NE5 aus eigener NE6</v>
      </c>
      <c r="F32" s="102">
        <f t="shared" si="1"/>
        <v>0</v>
      </c>
    </row>
    <row r="33" spans="1:6" x14ac:dyDescent="0.25">
      <c r="A33" s="239" t="s">
        <v>495</v>
      </c>
      <c r="B33" s="240">
        <f>-F38</f>
        <v>0</v>
      </c>
      <c r="C33" s="19" t="s">
        <v>37</v>
      </c>
      <c r="E33" s="237" t="s">
        <v>131</v>
      </c>
      <c r="F33" s="98"/>
    </row>
    <row r="34" spans="1:6" x14ac:dyDescent="0.25">
      <c r="A34" s="241" t="s">
        <v>43</v>
      </c>
      <c r="B34" s="242">
        <f>SUM(B27:B33)</f>
        <v>0</v>
      </c>
      <c r="C34" s="21" t="s">
        <v>77</v>
      </c>
      <c r="E34" s="237" t="s">
        <v>130</v>
      </c>
      <c r="F34" s="97"/>
    </row>
    <row r="35" spans="1:6" x14ac:dyDescent="0.25">
      <c r="A35" s="243" t="s">
        <v>66</v>
      </c>
      <c r="B35" s="97"/>
      <c r="E35" s="244" t="str">
        <f>A35</f>
        <v>- Lastgang Verluste in NE6 (Schätzung)</v>
      </c>
      <c r="F35" s="240">
        <f>B35</f>
        <v>0</v>
      </c>
    </row>
    <row r="36" spans="1:6" s="34" customFormat="1" x14ac:dyDescent="0.2">
      <c r="A36" s="245" t="s">
        <v>44</v>
      </c>
      <c r="B36" s="101">
        <f>SUM(B34:B35)</f>
        <v>0</v>
      </c>
      <c r="C36" s="36" t="s">
        <v>505</v>
      </c>
      <c r="E36" s="246" t="s">
        <v>129</v>
      </c>
      <c r="F36" s="103">
        <f>SUM(F27:F35)</f>
        <v>0</v>
      </c>
    </row>
    <row r="37" spans="1:6" ht="45" customHeight="1" x14ac:dyDescent="0.25">
      <c r="A37" s="43"/>
      <c r="B37" s="44"/>
      <c r="C37" s="9"/>
      <c r="E37" s="694" t="s">
        <v>493</v>
      </c>
      <c r="F37" s="102">
        <f>IF(F36&gt;0,F36,0)</f>
        <v>0</v>
      </c>
    </row>
    <row r="38" spans="1:6" s="247" customFormat="1" ht="45" customHeight="1" x14ac:dyDescent="0.2">
      <c r="A38" s="55"/>
      <c r="B38" s="56"/>
      <c r="E38" s="248" t="s">
        <v>497</v>
      </c>
      <c r="F38" s="249">
        <f>IF(F36&lt;0,F36,0)</f>
        <v>0</v>
      </c>
    </row>
    <row r="40" spans="1:6" s="19" customFormat="1" x14ac:dyDescent="0.25">
      <c r="A40" s="8"/>
      <c r="B40" s="8"/>
      <c r="C40" s="8"/>
      <c r="F40" s="8"/>
    </row>
    <row r="41" spans="1:6" x14ac:dyDescent="0.25">
      <c r="E41" s="19"/>
      <c r="F41" s="19"/>
    </row>
    <row r="42" spans="1:6" x14ac:dyDescent="0.25">
      <c r="C42" s="19"/>
    </row>
    <row r="43" spans="1:6" x14ac:dyDescent="0.25">
      <c r="C43" s="25"/>
    </row>
    <row r="46" spans="1:6" x14ac:dyDescent="0.25">
      <c r="C46" s="25"/>
    </row>
    <row r="47" spans="1:6" x14ac:dyDescent="0.25">
      <c r="C47" s="25"/>
    </row>
    <row r="48" spans="1:6" x14ac:dyDescent="0.25">
      <c r="E48" s="25"/>
    </row>
  </sheetData>
  <sheetProtection algorithmName="SHA-512" hashValue="3Pyg+irTqTZzgvosSL8azoil4bc0Cd+ohSXZhQyJKUWgnbTBsaHj95j5cQ2PioGHBKfqM6ZQTpnsXRZcFU/VEg==" saltValue="/HBLT8Y7r1v918jplYzmCQ==" spinCount="100000" sheet="1" objects="1" scenarios="1" formatCells="0"/>
  <mergeCells count="1">
    <mergeCell ref="A6:F6"/>
  </mergeCells>
  <conditionalFormatting sqref="A37:XFD1048576 A36:B36 D36:XFD36 A1:XFD5 G6:XFD6 A7:XFD35">
    <cfRule type="expression" dxfId="587" priority="18">
      <formula>AND(Sperrung="j",CELL("Schutz",A1))</formula>
    </cfRule>
  </conditionalFormatting>
  <conditionalFormatting sqref="A6">
    <cfRule type="expression" dxfId="586" priority="4">
      <formula>AND(Sperrung="j",CELL("Schutz",A6))</formula>
    </cfRule>
  </conditionalFormatting>
  <conditionalFormatting sqref="C36">
    <cfRule type="expression" dxfId="585" priority="1">
      <formula>AND(Sperrung="j",CELL("Schutz",C36))</formula>
    </cfRule>
  </conditionalFormatting>
  <dataValidations count="1">
    <dataValidation type="decimal" operator="lessThanOrEqual" allowBlank="1" showInputMessage="1" showErrorMessage="1" error="Wert bitte negativ eingeben" prompt="Wert bitte negativ eingeben" sqref="F33:F35 B35 B19 F17:F19 B15:B16" xr:uid="{00000000-0002-0000-0300-000000000000}">
      <formula1>0</formula1>
    </dataValidation>
  </dataValidations>
  <printOptions horizontalCentered="1"/>
  <pageMargins left="0.19685039370078741" right="0.19685039370078741" top="0.78740157480314965" bottom="0.78740157480314965" header="0.31496062992125984" footer="0.31496062992125984"/>
  <pageSetup paperSize="9" scale="69" orientation="landscape" r:id="rId1"/>
  <headerFooter>
    <oddFooter>&amp;C&amp;D</oddFooter>
  </headerFooter>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tabColor rgb="FFFFFF99"/>
  </sheetPr>
  <dimension ref="A1:F63"/>
  <sheetViews>
    <sheetView workbookViewId="0"/>
  </sheetViews>
  <sheetFormatPr baseColWidth="10" defaultColWidth="11.42578125" defaultRowHeight="15" x14ac:dyDescent="0.25"/>
  <cols>
    <col min="1" max="1" width="69.7109375" style="8" customWidth="1"/>
    <col min="2" max="2" width="17.7109375" style="8" customWidth="1"/>
    <col min="3" max="3" width="31.7109375" style="8" customWidth="1"/>
    <col min="4" max="4" width="3.7109375" style="8" customWidth="1"/>
    <col min="5" max="5" width="77.42578125" style="8" bestFit="1" customWidth="1"/>
    <col min="6" max="6" width="17.7109375" style="8" customWidth="1"/>
    <col min="7" max="16384" width="11.42578125" style="8"/>
  </cols>
  <sheetData>
    <row r="1" spans="1:6" x14ac:dyDescent="0.25">
      <c r="A1" s="7" t="str">
        <f>'JHL MN'!A1</f>
        <v>XY GmbH</v>
      </c>
      <c r="B1" s="7"/>
      <c r="C1" s="7"/>
      <c r="D1" s="7"/>
      <c r="E1" s="7"/>
      <c r="F1" s="7"/>
    </row>
    <row r="2" spans="1:6" x14ac:dyDescent="0.25">
      <c r="A2" s="45"/>
    </row>
    <row r="3" spans="1:6" x14ac:dyDescent="0.25">
      <c r="A3" s="9" t="s">
        <v>443</v>
      </c>
    </row>
    <row r="4" spans="1:6" x14ac:dyDescent="0.25">
      <c r="A4" s="9" t="s">
        <v>75</v>
      </c>
    </row>
    <row r="5" spans="1:6" x14ac:dyDescent="0.25">
      <c r="A5" s="9"/>
    </row>
    <row r="6" spans="1:6" ht="105" customHeight="1" x14ac:dyDescent="0.25">
      <c r="A6" s="738" t="s">
        <v>314</v>
      </c>
      <c r="B6" s="738"/>
      <c r="C6" s="738"/>
      <c r="D6" s="738"/>
      <c r="E6" s="738"/>
      <c r="F6" s="738"/>
    </row>
    <row r="8" spans="1:6" ht="23.25" x14ac:dyDescent="0.25">
      <c r="A8" s="10" t="s">
        <v>19</v>
      </c>
      <c r="B8" s="11" t="s">
        <v>45</v>
      </c>
      <c r="E8" s="42"/>
      <c r="F8" s="11" t="s">
        <v>45</v>
      </c>
    </row>
    <row r="9" spans="1:6" x14ac:dyDescent="0.25">
      <c r="A9" s="42" t="str">
        <f>A41</f>
        <v>Zeitpunkt des Maximums des Summenlastgangs der Entnahmen aus NE7</v>
      </c>
      <c r="B9" s="14" t="str">
        <f>B25</f>
        <v>noch einzutragen</v>
      </c>
      <c r="E9" s="13" t="s">
        <v>36</v>
      </c>
      <c r="F9" s="14" t="str">
        <f t="shared" ref="F9:F16" si="0">B9</f>
        <v>noch einzutragen</v>
      </c>
    </row>
    <row r="10" spans="1:6" x14ac:dyDescent="0.25">
      <c r="A10" s="42"/>
      <c r="B10" s="14" t="s">
        <v>9</v>
      </c>
      <c r="E10" s="13"/>
      <c r="F10" s="14" t="s">
        <v>9</v>
      </c>
    </row>
    <row r="11" spans="1:6" x14ac:dyDescent="0.25">
      <c r="A11" s="15" t="str">
        <f>'JHL MN'!A11</f>
        <v>Lastgänge Bezug in NE5 von der eigenen NE4</v>
      </c>
      <c r="B11" s="96"/>
      <c r="E11" s="16" t="str">
        <f>'JHL MN'!E11</f>
        <v>Lastgänge Bezug in NE5 von der eigenen NE4</v>
      </c>
      <c r="F11" s="102">
        <f t="shared" si="0"/>
        <v>0</v>
      </c>
    </row>
    <row r="12" spans="1:6" x14ac:dyDescent="0.25">
      <c r="A12" s="17" t="str">
        <f>'JHL MN'!A12</f>
        <v>+ Lastgänge Bezug in NE5 von fremden Netzen</v>
      </c>
      <c r="B12" s="97"/>
      <c r="E12" s="18" t="str">
        <f>'JHL MN'!E12</f>
        <v>+ Lastgänge Bezug in NE5 von fremden Netzen</v>
      </c>
      <c r="F12" s="102">
        <f t="shared" si="0"/>
        <v>0</v>
      </c>
    </row>
    <row r="13" spans="1:6" x14ac:dyDescent="0.25">
      <c r="A13" s="17" t="str">
        <f>'JHL MN'!A13</f>
        <v>+ Lastgänge dezentrale Einspeisungen in NE5 aus Erzeugungsanlagen</v>
      </c>
      <c r="B13" s="97"/>
      <c r="E13" s="18" t="str">
        <f>'JHL MN'!E13</f>
        <v>+ Lastgänge dezentrale Einspeisungen in NE5 aus Erzeugungsanlagen</v>
      </c>
      <c r="F13" s="102">
        <f t="shared" si="0"/>
        <v>0</v>
      </c>
    </row>
    <row r="14" spans="1:6" x14ac:dyDescent="0.25">
      <c r="A14" s="17" t="str">
        <f>'JHL MN'!A14</f>
        <v>+ Lastgänge Rückspeisung in NE5 von fremden Netzen</v>
      </c>
      <c r="B14" s="97"/>
      <c r="E14" s="18" t="str">
        <f>'JHL MN'!E14</f>
        <v>+ Lastgänge Rückspeisung in NE5 von fremden Netzen</v>
      </c>
      <c r="F14" s="102">
        <f t="shared" si="0"/>
        <v>0</v>
      </c>
    </row>
    <row r="15" spans="1:6" x14ac:dyDescent="0.25">
      <c r="A15" s="18" t="str">
        <f>'JHL MN'!A15</f>
        <v>- Lastgänge Überspeisung aus NE5 in fremde Netze</v>
      </c>
      <c r="B15" s="98"/>
      <c r="E15" s="18" t="str">
        <f>'JHL MN'!E15</f>
        <v>- Lastgänge Überspeisung aus NE5 in fremde Netze</v>
      </c>
      <c r="F15" s="102">
        <f>B15</f>
        <v>0</v>
      </c>
    </row>
    <row r="16" spans="1:6" x14ac:dyDescent="0.25">
      <c r="A16" s="15" t="str">
        <f>'JHL MN'!A16</f>
        <v>- Lastgänge Überspeisung aus NE5 in die eigene NE4</v>
      </c>
      <c r="B16" s="98"/>
      <c r="E16" s="18" t="str">
        <f>'JHL MN'!E16</f>
        <v>- Lastgänge Überspeisung aus NE5 in die eigene NE4</v>
      </c>
      <c r="F16" s="102">
        <f t="shared" si="0"/>
        <v>0</v>
      </c>
    </row>
    <row r="17" spans="1:6" s="19" customFormat="1" x14ac:dyDescent="0.25">
      <c r="A17" s="32" t="str">
        <f>'JHL MN'!A17</f>
        <v>+ Lastgänge Rückspeisung in eigene NE5 aus eigener NE6 (positive Werte)</v>
      </c>
      <c r="B17" s="99">
        <f>-F22</f>
        <v>0</v>
      </c>
      <c r="C17" s="19" t="s">
        <v>37</v>
      </c>
      <c r="E17" s="18" t="str">
        <f>'JHL MN'!E17</f>
        <v>- Lastgänge Abgabe aus NE5 an Letztverbraucher</v>
      </c>
      <c r="F17" s="98"/>
    </row>
    <row r="18" spans="1:6" x14ac:dyDescent="0.25">
      <c r="A18" s="20" t="str">
        <f>'JHL MN'!A18</f>
        <v>= Summenlastgang der Entnahmen aus NE5 inkl. Verluste</v>
      </c>
      <c r="B18" s="106">
        <f>SUM(B11:B17)</f>
        <v>0</v>
      </c>
      <c r="C18" s="21"/>
      <c r="E18" s="18" t="str">
        <f>'JHL MN'!E18</f>
        <v>- Lastgänge Abgabe aus NE5 an fremde Netze</v>
      </c>
      <c r="F18" s="97"/>
    </row>
    <row r="19" spans="1:6" x14ac:dyDescent="0.25">
      <c r="A19" s="22" t="str">
        <f>'JHL MN'!A19</f>
        <v>- Lastgang Verluste in NE5 (Schätzung)</v>
      </c>
      <c r="B19" s="97"/>
      <c r="D19" s="34"/>
      <c r="E19" s="35" t="str">
        <f>'JHL MN'!E19</f>
        <v>- Lastgang Verluste in NE5 (Schätzung)</v>
      </c>
      <c r="F19" s="103">
        <f>B19</f>
        <v>0</v>
      </c>
    </row>
    <row r="20" spans="1:6" x14ac:dyDescent="0.25">
      <c r="A20" s="33" t="str">
        <f>'JHL MN'!A20</f>
        <v>= Summenlastgang der Entnahmen aus NE5 ohne Verluste</v>
      </c>
      <c r="B20" s="101">
        <f>SUM(B18:B19)</f>
        <v>0</v>
      </c>
      <c r="C20" s="36"/>
      <c r="E20" s="16" t="str">
        <f>'JHL MN'!E20</f>
        <v>Lastgänge Übergabe in NE6</v>
      </c>
      <c r="F20" s="106">
        <f>SUM(F11:F19)</f>
        <v>0</v>
      </c>
    </row>
    <row r="21" spans="1:6" ht="45" customHeight="1" x14ac:dyDescent="0.25">
      <c r="B21" s="24"/>
      <c r="E21" s="693" t="str">
        <f>'JHL MN'!E21</f>
        <v>davon positive Werte: 
Lastgänge Bezug in eigener NE6 von eigener NE5 = 
= Lastgänge Abgabe an eigene NE6 von eigener NE5</v>
      </c>
      <c r="F21" s="103">
        <f>IF(F20&gt;0,F20,0)</f>
        <v>0</v>
      </c>
    </row>
    <row r="22" spans="1:6" s="34" customFormat="1" ht="45" customHeight="1" x14ac:dyDescent="0.2">
      <c r="B22" s="44"/>
      <c r="E22" s="54" t="str">
        <f>'JHL MN'!E22</f>
        <v>davon negative Werte: 
Lastgänge Rückspeisung in eigene NE5 aus eigener NE6 =
 = Lastgänge Überspeisung in eigene NE5 aus eigener NE6</v>
      </c>
      <c r="F22" s="105">
        <f>IF(F20&lt;0,F20,0)</f>
        <v>0</v>
      </c>
    </row>
    <row r="23" spans="1:6" x14ac:dyDescent="0.25">
      <c r="A23" s="23"/>
      <c r="B23" s="24"/>
      <c r="C23" s="9"/>
      <c r="E23" s="19"/>
    </row>
    <row r="24" spans="1:6" x14ac:dyDescent="0.25">
      <c r="A24" s="13" t="s">
        <v>18</v>
      </c>
      <c r="B24" s="230"/>
      <c r="E24" s="19"/>
    </row>
    <row r="25" spans="1:6" x14ac:dyDescent="0.25">
      <c r="A25" s="42" t="str">
        <f>A41</f>
        <v>Zeitpunkt des Maximums des Summenlastgangs der Entnahmen aus NE7</v>
      </c>
      <c r="B25" s="14" t="str">
        <f>IF(B41="","noch einzutragen",B41)</f>
        <v>noch einzutragen</v>
      </c>
      <c r="E25" s="13" t="s">
        <v>42</v>
      </c>
      <c r="F25" s="14" t="str">
        <f>F9</f>
        <v>noch einzutragen</v>
      </c>
    </row>
    <row r="26" spans="1:6" x14ac:dyDescent="0.25">
      <c r="A26" s="42"/>
      <c r="B26" s="14" t="s">
        <v>9</v>
      </c>
      <c r="E26" s="233"/>
      <c r="F26" s="14" t="s">
        <v>9</v>
      </c>
    </row>
    <row r="27" spans="1:6" x14ac:dyDescent="0.25">
      <c r="A27" s="250" t="str">
        <f>'JHL MN'!A27</f>
        <v>Lastgänge Bezug in eigener NE6 von eigener NE5</v>
      </c>
      <c r="B27" s="102">
        <f>F21</f>
        <v>0</v>
      </c>
      <c r="C27" s="8" t="s">
        <v>37</v>
      </c>
      <c r="E27" s="235" t="str">
        <f>'JHL MN'!E27</f>
        <v>Lastgänge Bezug in eigener NE6 von eigener NE5</v>
      </c>
      <c r="F27" s="106">
        <f t="shared" ref="F27:F32" si="1">B27</f>
        <v>0</v>
      </c>
    </row>
    <row r="28" spans="1:6" s="19" customFormat="1" x14ac:dyDescent="0.25">
      <c r="A28" s="18" t="str">
        <f>'JHL MN'!A28</f>
        <v>+ Lastgänge Bezug in NE6 von fremden Netzen</v>
      </c>
      <c r="B28" s="97"/>
      <c r="E28" s="237" t="str">
        <f>'JHL MN'!E28</f>
        <v>+ Lastgänge Bezug in NE6 von fremden Netzen</v>
      </c>
      <c r="F28" s="102">
        <f t="shared" si="1"/>
        <v>0</v>
      </c>
    </row>
    <row r="29" spans="1:6" s="19" customFormat="1" x14ac:dyDescent="0.25">
      <c r="A29" s="18" t="str">
        <f>'JHL MN'!A29</f>
        <v>+ Lastgänge dezentrale Einspeisungen in NE6 aus Erzeugungsanlagen</v>
      </c>
      <c r="B29" s="97"/>
      <c r="E29" s="237" t="str">
        <f>'JHL MN'!E29</f>
        <v>+ Lastgänge dezentrale Einspeisungen in NE6 aus Erzeugungsanlagen</v>
      </c>
      <c r="F29" s="102">
        <f t="shared" si="1"/>
        <v>0</v>
      </c>
    </row>
    <row r="30" spans="1:6" s="19" customFormat="1" x14ac:dyDescent="0.25">
      <c r="A30" s="18" t="str">
        <f>'JHL MN'!A30</f>
        <v>+ Lastgänge Rückspeisung in NE6 von fremden Netzen</v>
      </c>
      <c r="B30" s="97"/>
      <c r="E30" s="237" t="str">
        <f>'JHL MN'!E30</f>
        <v>+ Lastgänge Rückspeisung in NE6 von fremden Netzen</v>
      </c>
      <c r="F30" s="102">
        <f t="shared" si="1"/>
        <v>0</v>
      </c>
    </row>
    <row r="31" spans="1:6" s="19" customFormat="1" x14ac:dyDescent="0.25">
      <c r="A31" s="18" t="str">
        <f>'JHL MN'!A31</f>
        <v>- Lastgänge Überspeisungen aus NE6 in fremde Netze</v>
      </c>
      <c r="B31" s="97"/>
      <c r="E31" s="237" t="str">
        <f>'JHL MN'!E31</f>
        <v>- Lastgänge Überspeisungen aus NE6 in fremde Netze</v>
      </c>
      <c r="F31" s="102">
        <f t="shared" si="1"/>
        <v>0</v>
      </c>
    </row>
    <row r="32" spans="1:6" x14ac:dyDescent="0.25">
      <c r="A32" s="251" t="str">
        <f>'JHL MN'!A32</f>
        <v>- Lastgänge Überspeisung in eigene NE5 aus eigener NE6</v>
      </c>
      <c r="B32" s="102">
        <f>F22</f>
        <v>0</v>
      </c>
      <c r="C32" s="8" t="s">
        <v>37</v>
      </c>
      <c r="E32" s="238" t="str">
        <f>'JHL MN'!E32</f>
        <v>- Lastgänge Überspeisung in eigene NE5 aus eigener NE6</v>
      </c>
      <c r="F32" s="102">
        <f t="shared" si="1"/>
        <v>0</v>
      </c>
    </row>
    <row r="33" spans="1:6" x14ac:dyDescent="0.25">
      <c r="A33" s="239" t="str">
        <f>'JHL MN'!A33</f>
        <v>+ Lastgänge Rückspeisung in eigene NE6 aus eigener NE7 (positive Werte)</v>
      </c>
      <c r="B33" s="240">
        <f>-F38</f>
        <v>0</v>
      </c>
      <c r="C33" s="19" t="s">
        <v>37</v>
      </c>
      <c r="E33" s="237" t="str">
        <f>'JHL MN'!E33</f>
        <v>- Lastgänge Abgabe aus NE6 an Letztverbraucher</v>
      </c>
      <c r="F33" s="98"/>
    </row>
    <row r="34" spans="1:6" x14ac:dyDescent="0.25">
      <c r="A34" s="18" t="str">
        <f>'JHL MN'!A34</f>
        <v>= Summenlastgang der Entnahmen aus NE6 inkl. Verluste</v>
      </c>
      <c r="B34" s="102">
        <f>SUM(B27:B33)</f>
        <v>0</v>
      </c>
      <c r="C34" s="21"/>
      <c r="E34" s="237" t="str">
        <f>'JHL MN'!E34</f>
        <v>- Lastgänge Abgabe aus NE6 an fremde Netze</v>
      </c>
      <c r="F34" s="97"/>
    </row>
    <row r="35" spans="1:6" x14ac:dyDescent="0.25">
      <c r="A35" s="243" t="str">
        <f>'JHL MN'!A35</f>
        <v>- Lastgang Verluste in NE6 (Schätzung)</v>
      </c>
      <c r="B35" s="97"/>
      <c r="E35" s="244" t="str">
        <f>'JHL MN'!E35</f>
        <v>- Lastgang Verluste in NE6 (Schätzung)</v>
      </c>
      <c r="F35" s="240">
        <f>B35</f>
        <v>0</v>
      </c>
    </row>
    <row r="36" spans="1:6" x14ac:dyDescent="0.25">
      <c r="A36" s="252" t="str">
        <f>'JHL MN'!A36</f>
        <v>= Summenlastgang der Entnahmen aus NE6 ohne Verluste</v>
      </c>
      <c r="B36" s="253">
        <f>SUM(B34:B35)</f>
        <v>0</v>
      </c>
      <c r="E36" s="236" t="str">
        <f>'JHL MN'!E36</f>
        <v>Lastgänge Übergabe in NE7</v>
      </c>
      <c r="F36" s="102">
        <f>SUM(F27:F35)</f>
        <v>0</v>
      </c>
    </row>
    <row r="37" spans="1:6" ht="45" customHeight="1" x14ac:dyDescent="0.25">
      <c r="B37" s="24"/>
      <c r="C37" s="9"/>
      <c r="E37" s="694" t="str">
        <f>'JHL MN'!E37</f>
        <v>davon positive Werte: 
Lastgänge Bezug in eigener NE7 von eigenen NE6 =
= Lastgänge Abgabe an eigene NE7 von eigener NE6</v>
      </c>
      <c r="F37" s="103">
        <f>IF(F36&gt;0,F36,0)</f>
        <v>0</v>
      </c>
    </row>
    <row r="38" spans="1:6" s="34" customFormat="1" ht="45" customHeight="1" x14ac:dyDescent="0.2">
      <c r="A38" s="43"/>
      <c r="B38" s="44"/>
      <c r="E38" s="254" t="str">
        <f>'JHL MN'!E38</f>
        <v>davon negative Werte:
Lastgänge Rückspeisung in eigene NE6 aus eigener NE7 =
Lastgänge Überspeisung aus eigener NE7 in eigene NE6</v>
      </c>
      <c r="F38" s="105">
        <f>IF(F36&lt;0,F36,0)</f>
        <v>0</v>
      </c>
    </row>
    <row r="40" spans="1:6" x14ac:dyDescent="0.25">
      <c r="A40" s="10" t="s">
        <v>17</v>
      </c>
      <c r="B40" s="255"/>
    </row>
    <row r="41" spans="1:6" x14ac:dyDescent="0.25">
      <c r="A41" s="12" t="s">
        <v>46</v>
      </c>
      <c r="B41" s="57"/>
      <c r="E41" s="13" t="s">
        <v>75</v>
      </c>
      <c r="F41" s="256" t="str">
        <f>F25</f>
        <v>noch einzutragen</v>
      </c>
    </row>
    <row r="42" spans="1:6" x14ac:dyDescent="0.25">
      <c r="A42" s="231"/>
      <c r="B42" s="14" t="s">
        <v>9</v>
      </c>
      <c r="E42" s="233"/>
      <c r="F42" s="14" t="s">
        <v>9</v>
      </c>
    </row>
    <row r="43" spans="1:6" x14ac:dyDescent="0.25">
      <c r="A43" s="257" t="s">
        <v>150</v>
      </c>
      <c r="B43" s="102">
        <f>F37</f>
        <v>0</v>
      </c>
      <c r="C43" s="8" t="s">
        <v>37</v>
      </c>
      <c r="E43" s="257" t="str">
        <f t="shared" ref="E43:F49" si="2">A43</f>
        <v>Lastgänge Bezug in NE7 von der eigenen NE6</v>
      </c>
      <c r="F43" s="106">
        <f t="shared" si="2"/>
        <v>0</v>
      </c>
    </row>
    <row r="44" spans="1:6" x14ac:dyDescent="0.25">
      <c r="A44" s="18" t="s">
        <v>132</v>
      </c>
      <c r="B44" s="97"/>
      <c r="E44" s="18" t="str">
        <f t="shared" si="2"/>
        <v>+ Lastgänge Bezug in NE7 von fremden Netzen</v>
      </c>
      <c r="F44" s="102">
        <f t="shared" si="2"/>
        <v>0</v>
      </c>
    </row>
    <row r="45" spans="1:6" x14ac:dyDescent="0.25">
      <c r="A45" s="18" t="s">
        <v>133</v>
      </c>
      <c r="B45" s="97"/>
      <c r="E45" s="18" t="str">
        <f t="shared" si="2"/>
        <v>+ Lastgänge dez. Einspeisungen in NE7 aus leistungsgemessenen Erzeugungsanlagen</v>
      </c>
      <c r="F45" s="102">
        <f t="shared" si="2"/>
        <v>0</v>
      </c>
    </row>
    <row r="46" spans="1:6" s="34" customFormat="1" ht="30" customHeight="1" x14ac:dyDescent="0.2">
      <c r="A46" s="258" t="s">
        <v>208</v>
      </c>
      <c r="B46" s="107"/>
      <c r="E46" s="258" t="str">
        <f t="shared" si="2"/>
        <v>+ Lastgänge der dez. Einspeisungen in NE7 aus nicht leistungsgemessenen Erzeugungsanlagen (Schätzung)</v>
      </c>
      <c r="F46" s="103">
        <f t="shared" si="2"/>
        <v>0</v>
      </c>
    </row>
    <row r="47" spans="1:6" x14ac:dyDescent="0.25">
      <c r="A47" s="237" t="s">
        <v>136</v>
      </c>
      <c r="B47" s="97"/>
      <c r="E47" s="237" t="str">
        <f t="shared" si="2"/>
        <v>+ Lastgänge Rückspeisung in NE7 von fremden Netzen</v>
      </c>
      <c r="F47" s="102">
        <f t="shared" si="2"/>
        <v>0</v>
      </c>
    </row>
    <row r="48" spans="1:6" x14ac:dyDescent="0.25">
      <c r="A48" s="237" t="s">
        <v>200</v>
      </c>
      <c r="B48" s="97"/>
      <c r="E48" s="237" t="str">
        <f>A48</f>
        <v>- Lastgänge Überspeisung aus NE7 in fremde Netze</v>
      </c>
      <c r="F48" s="102">
        <f>B48</f>
        <v>0</v>
      </c>
    </row>
    <row r="49" spans="1:6" x14ac:dyDescent="0.25">
      <c r="A49" s="259" t="s">
        <v>496</v>
      </c>
      <c r="B49" s="240">
        <f>F38</f>
        <v>0</v>
      </c>
      <c r="C49" s="8" t="s">
        <v>37</v>
      </c>
      <c r="E49" s="259" t="str">
        <f>A49</f>
        <v>- Lastgänge Überspeisung aus eigener NE7 in eigene NE6</v>
      </c>
      <c r="F49" s="102">
        <f t="shared" si="2"/>
        <v>0</v>
      </c>
    </row>
    <row r="50" spans="1:6" x14ac:dyDescent="0.25">
      <c r="A50" s="260" t="s">
        <v>47</v>
      </c>
      <c r="B50" s="100">
        <f>SUM(B43:B49)</f>
        <v>0</v>
      </c>
      <c r="C50" s="21" t="s">
        <v>77</v>
      </c>
      <c r="E50" s="237" t="s">
        <v>209</v>
      </c>
      <c r="F50" s="98"/>
    </row>
    <row r="51" spans="1:6" x14ac:dyDescent="0.25">
      <c r="A51" s="261" t="s">
        <v>67</v>
      </c>
      <c r="B51" s="97"/>
      <c r="E51" s="237" t="s">
        <v>139</v>
      </c>
      <c r="F51" s="98"/>
    </row>
    <row r="52" spans="1:6" s="34" customFormat="1" x14ac:dyDescent="0.2">
      <c r="A52" s="33" t="s">
        <v>48</v>
      </c>
      <c r="B52" s="101">
        <f>SUM(B50:B51)</f>
        <v>0</v>
      </c>
      <c r="C52" s="36" t="s">
        <v>505</v>
      </c>
      <c r="E52" s="262" t="s">
        <v>140</v>
      </c>
      <c r="F52" s="107"/>
    </row>
    <row r="53" spans="1:6" s="34" customFormat="1" x14ac:dyDescent="0.25">
      <c r="A53" s="23"/>
      <c r="B53" s="44"/>
      <c r="C53" s="36"/>
      <c r="E53" s="35" t="str">
        <f>A51</f>
        <v>- Lastgang Verluste in NE7 (Schätzung)</v>
      </c>
      <c r="F53" s="105">
        <f>B51</f>
        <v>0</v>
      </c>
    </row>
    <row r="54" spans="1:6" s="19" customFormat="1" x14ac:dyDescent="0.25">
      <c r="A54" s="23"/>
      <c r="B54" s="24"/>
      <c r="C54" s="8"/>
      <c r="E54" s="263" t="s">
        <v>54</v>
      </c>
      <c r="F54" s="240">
        <f>SUM(F43:F53)</f>
        <v>0</v>
      </c>
    </row>
    <row r="55" spans="1:6" x14ac:dyDescent="0.25">
      <c r="E55" s="19"/>
    </row>
    <row r="56" spans="1:6" x14ac:dyDescent="0.25">
      <c r="C56" s="19"/>
      <c r="E56" s="19"/>
      <c r="F56" s="19"/>
    </row>
    <row r="57" spans="1:6" x14ac:dyDescent="0.25">
      <c r="C57" s="25"/>
    </row>
    <row r="60" spans="1:6" x14ac:dyDescent="0.25">
      <c r="C60" s="25"/>
    </row>
    <row r="61" spans="1:6" x14ac:dyDescent="0.25">
      <c r="C61" s="25"/>
    </row>
    <row r="63" spans="1:6" x14ac:dyDescent="0.25">
      <c r="E63" s="25"/>
    </row>
  </sheetData>
  <sheetProtection algorithmName="SHA-512" hashValue="2iAimyOPFB3KPegrjrDQ7NXzqdYi3QMpeYRtIVSDYNDWkpfAM7VwEkhlT1cVjba+nGgM25hoBbcDVqXl6F9ioA==" saltValue="Izm5Z0c5RX3isOBc7m4+hQ==" spinCount="100000" sheet="1" objects="1" scenarios="1" formatCells="0"/>
  <mergeCells count="1">
    <mergeCell ref="A6:F6"/>
  </mergeCells>
  <conditionalFormatting sqref="F54">
    <cfRule type="expression" dxfId="584" priority="20">
      <formula>ABS($F$54)&gt;1</formula>
    </cfRule>
  </conditionalFormatting>
  <conditionalFormatting sqref="A53:XFD1048576 A52:B52 D52:XFD52 A45:B45 D45:XFD45 A46:XFD51 A1:XFD5 G6:XFD6 A7:XFD44">
    <cfRule type="expression" dxfId="583" priority="19">
      <formula>AND(Sperrung="j",CELL("Schutz",A1))</formula>
    </cfRule>
  </conditionalFormatting>
  <conditionalFormatting sqref="C45">
    <cfRule type="expression" dxfId="582" priority="13">
      <formula>AND(Sperrung="j",CELL("Schutz",C45))</formula>
    </cfRule>
  </conditionalFormatting>
  <conditionalFormatting sqref="A6">
    <cfRule type="expression" dxfId="581" priority="4">
      <formula>AND(Sperrung="j",CELL("Schutz",A6))</formula>
    </cfRule>
  </conditionalFormatting>
  <conditionalFormatting sqref="C52">
    <cfRule type="expression" dxfId="580" priority="1">
      <formula>AND(Sperrung="j",CELL("Schutz",C52))</formula>
    </cfRule>
  </conditionalFormatting>
  <dataValidations count="1">
    <dataValidation type="decimal" operator="lessThanOrEqual" allowBlank="1" showInputMessage="1" showErrorMessage="1" error="Wert bitte negativ eingeben" prompt="Wert bitte negativ eingeben" sqref="B51 F50:F53 F33:F35 B35 B19 F17:F19 B15:B16" xr:uid="{00000000-0002-0000-0400-000000000000}">
      <formula1>0</formula1>
    </dataValidation>
  </dataValidations>
  <printOptions horizontalCentered="1"/>
  <pageMargins left="0.19685039370078741" right="0.19685039370078741" top="0.39370078740157483" bottom="0.59055118110236227" header="0.31496062992125984" footer="0.31496062992125984"/>
  <pageSetup paperSize="9" scale="69" orientation="landscape" r:id="rId1"/>
  <headerFooter>
    <oddFooter>&amp;C&amp;D</oddFooter>
  </headerFooter>
  <rowBreaks count="1" manualBreakCount="1">
    <brk id="39" max="16383" man="1"/>
  </rowBreaks>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6">
    <tabColor rgb="FFFFFF00"/>
  </sheetPr>
  <dimension ref="A1:AE72"/>
  <sheetViews>
    <sheetView topLeftCell="A28" workbookViewId="0">
      <selection activeCell="J53" sqref="J53:J64"/>
    </sheetView>
  </sheetViews>
  <sheetFormatPr baseColWidth="10" defaultColWidth="11.42578125" defaultRowHeight="15" x14ac:dyDescent="0.25"/>
  <cols>
    <col min="1" max="1" width="67.7109375" style="27" customWidth="1"/>
    <col min="2" max="2" width="15.7109375" style="27" customWidth="1"/>
    <col min="3" max="3" width="15.28515625" style="27" customWidth="1"/>
    <col min="4" max="9" width="16.7109375" style="27" customWidth="1"/>
    <col min="10" max="12" width="8.7109375" style="27" customWidth="1"/>
    <col min="13" max="17" width="16.7109375" style="27" customWidth="1"/>
    <col min="18" max="20" width="16" style="27" customWidth="1"/>
    <col min="21" max="21" width="16" style="69" customWidth="1"/>
    <col min="22" max="23" width="16" style="27" customWidth="1"/>
    <col min="24" max="29" width="15.85546875" style="27" customWidth="1"/>
    <col min="30" max="30" width="15.7109375" style="27" customWidth="1"/>
    <col min="31" max="16384" width="11.42578125" style="27"/>
  </cols>
  <sheetData>
    <row r="1" spans="1:30" x14ac:dyDescent="0.25">
      <c r="A1" s="4" t="str">
        <f>'JHL NS'!A1</f>
        <v>XY GmbH</v>
      </c>
      <c r="B1" s="4" t="str">
        <f>+IF(AF!B1="","",AF!B1)</f>
        <v/>
      </c>
      <c r="C1" s="4"/>
      <c r="D1" s="4"/>
      <c r="E1" s="4"/>
      <c r="F1" s="4"/>
      <c r="G1" s="4"/>
      <c r="H1" s="4"/>
      <c r="I1" s="4"/>
      <c r="J1" s="4"/>
      <c r="K1" s="4"/>
      <c r="L1" s="4"/>
      <c r="M1" s="4"/>
      <c r="N1" s="4"/>
      <c r="O1" s="4"/>
      <c r="P1" s="4"/>
      <c r="Q1" s="4"/>
      <c r="R1" s="4"/>
      <c r="S1" s="4"/>
      <c r="T1" s="4"/>
      <c r="U1" s="264"/>
      <c r="V1" s="4"/>
      <c r="W1" s="4"/>
      <c r="X1" s="4"/>
      <c r="Y1" s="4"/>
      <c r="Z1" s="4"/>
      <c r="AA1" s="4"/>
      <c r="AB1" s="4"/>
      <c r="AC1" s="4"/>
      <c r="AD1" s="4"/>
    </row>
    <row r="2" spans="1:30" x14ac:dyDescent="0.25">
      <c r="A2" s="182"/>
      <c r="U2" s="27"/>
    </row>
    <row r="3" spans="1:30" ht="15" customHeight="1" x14ac:dyDescent="0.25">
      <c r="A3" s="41" t="s">
        <v>20</v>
      </c>
      <c r="U3" s="27"/>
      <c r="V3" s="742" t="s">
        <v>289</v>
      </c>
      <c r="W3" s="743"/>
      <c r="X3" s="743"/>
      <c r="Y3" s="743"/>
      <c r="Z3" s="743"/>
      <c r="AA3" s="743"/>
      <c r="AB3" s="743"/>
      <c r="AC3" s="743"/>
      <c r="AD3" s="744"/>
    </row>
    <row r="4" spans="1:30" x14ac:dyDescent="0.25">
      <c r="U4" s="27"/>
      <c r="V4" s="745"/>
      <c r="W4" s="746"/>
      <c r="X4" s="746"/>
      <c r="Y4" s="746"/>
      <c r="Z4" s="746"/>
      <c r="AA4" s="746"/>
      <c r="AB4" s="746"/>
      <c r="AC4" s="746"/>
      <c r="AD4" s="747"/>
    </row>
    <row r="5" spans="1:30" x14ac:dyDescent="0.25">
      <c r="A5" s="265" t="s">
        <v>282</v>
      </c>
      <c r="U5" s="27"/>
      <c r="V5" s="745"/>
      <c r="W5" s="746"/>
      <c r="X5" s="746"/>
      <c r="Y5" s="746"/>
      <c r="Z5" s="746"/>
      <c r="AA5" s="746"/>
      <c r="AB5" s="746"/>
      <c r="AC5" s="746"/>
      <c r="AD5" s="747"/>
    </row>
    <row r="6" spans="1:30" x14ac:dyDescent="0.25">
      <c r="A6" s="41"/>
      <c r="U6" s="27"/>
      <c r="V6" s="745"/>
      <c r="W6" s="746"/>
      <c r="X6" s="746"/>
      <c r="Y6" s="746"/>
      <c r="Z6" s="746"/>
      <c r="AA6" s="746"/>
      <c r="AB6" s="746"/>
      <c r="AC6" s="746"/>
      <c r="AD6" s="747"/>
    </row>
    <row r="7" spans="1:30" x14ac:dyDescent="0.25">
      <c r="A7" s="266"/>
      <c r="B7" s="266"/>
      <c r="C7" s="267" t="s">
        <v>7</v>
      </c>
      <c r="P7" s="69"/>
      <c r="Q7" s="69"/>
      <c r="R7" s="69"/>
      <c r="S7" s="69"/>
      <c r="T7" s="69"/>
      <c r="U7" s="27"/>
      <c r="V7" s="745"/>
      <c r="W7" s="746"/>
      <c r="X7" s="746"/>
      <c r="Y7" s="746"/>
      <c r="Z7" s="746"/>
      <c r="AA7" s="746"/>
      <c r="AB7" s="746"/>
      <c r="AC7" s="746"/>
      <c r="AD7" s="747"/>
    </row>
    <row r="8" spans="1:30" s="174" customFormat="1" ht="16.5" x14ac:dyDescent="0.2">
      <c r="A8" s="268" t="s">
        <v>346</v>
      </c>
      <c r="B8" s="269" t="s">
        <v>25</v>
      </c>
      <c r="C8" s="270">
        <f>(AF!I10+AF!K10+AF!J10)*(1+AF!P10)</f>
        <v>0</v>
      </c>
      <c r="E8" s="173"/>
      <c r="F8" s="173"/>
      <c r="G8" s="173"/>
      <c r="O8" s="271"/>
      <c r="P8" s="272"/>
      <c r="Q8" s="272"/>
      <c r="R8" s="272"/>
      <c r="S8" s="272"/>
      <c r="T8" s="272"/>
      <c r="V8" s="748"/>
      <c r="W8" s="749"/>
      <c r="X8" s="749"/>
      <c r="Y8" s="749"/>
      <c r="Z8" s="749"/>
      <c r="AA8" s="749"/>
      <c r="AB8" s="749"/>
      <c r="AC8" s="749"/>
      <c r="AD8" s="750"/>
    </row>
    <row r="9" spans="1:30" ht="16.5" x14ac:dyDescent="0.3">
      <c r="A9" s="273" t="s">
        <v>142</v>
      </c>
      <c r="B9" s="274" t="s">
        <v>143</v>
      </c>
      <c r="C9" s="275">
        <f>-AF!D10-AF!C10</f>
        <v>0</v>
      </c>
      <c r="E9" s="170"/>
      <c r="O9" s="171"/>
      <c r="P9" s="66"/>
      <c r="Q9" s="66"/>
      <c r="R9" s="66"/>
      <c r="S9" s="66"/>
      <c r="T9" s="66"/>
      <c r="U9" s="276"/>
      <c r="V9" s="66"/>
    </row>
    <row r="10" spans="1:30" ht="16.5" x14ac:dyDescent="0.3">
      <c r="A10" s="277" t="s">
        <v>6</v>
      </c>
      <c r="B10" s="278" t="s">
        <v>160</v>
      </c>
      <c r="C10" s="279">
        <f>MAX(0,C8+C9)</f>
        <v>0</v>
      </c>
      <c r="E10" s="41"/>
      <c r="F10" s="41"/>
      <c r="G10" s="280"/>
      <c r="O10" s="281"/>
      <c r="P10" s="282"/>
      <c r="Q10" s="282"/>
      <c r="R10" s="282"/>
      <c r="S10" s="282"/>
      <c r="T10" s="282"/>
      <c r="U10" s="283"/>
      <c r="V10" s="282"/>
    </row>
    <row r="12" spans="1:30" ht="45" customHeight="1" x14ac:dyDescent="0.25">
      <c r="A12" s="284" t="s">
        <v>144</v>
      </c>
      <c r="B12" s="285" t="s">
        <v>145</v>
      </c>
      <c r="C12" s="286">
        <f>D69</f>
        <v>0</v>
      </c>
      <c r="F12" s="66"/>
      <c r="U12" s="27"/>
      <c r="V12" s="287" t="s">
        <v>382</v>
      </c>
      <c r="W12" s="288" t="s">
        <v>383</v>
      </c>
    </row>
    <row r="13" spans="1:30" ht="15" customHeight="1" x14ac:dyDescent="0.25">
      <c r="B13" s="176"/>
      <c r="P13" s="289" t="s">
        <v>299</v>
      </c>
      <c r="Q13" s="290"/>
      <c r="R13" s="290"/>
      <c r="S13" s="290"/>
      <c r="T13" s="290"/>
      <c r="U13" s="290"/>
      <c r="V13" s="64"/>
      <c r="W13" s="63"/>
    </row>
    <row r="14" spans="1:30" ht="15" customHeight="1" x14ac:dyDescent="0.3">
      <c r="A14" s="291" t="s">
        <v>163</v>
      </c>
      <c r="B14" s="292" t="s">
        <v>28</v>
      </c>
      <c r="C14" s="293">
        <f>IF(C12=0,0,C10/C12)</f>
        <v>0</v>
      </c>
      <c r="P14" s="294" t="s">
        <v>300</v>
      </c>
      <c r="Q14" s="295"/>
      <c r="R14" s="295"/>
      <c r="S14" s="295"/>
      <c r="T14" s="295"/>
      <c r="U14" s="295"/>
      <c r="V14" s="94"/>
      <c r="W14" s="95"/>
    </row>
    <row r="15" spans="1:30" ht="15" customHeight="1" x14ac:dyDescent="0.25">
      <c r="B15" s="176"/>
      <c r="C15" s="70"/>
      <c r="P15" s="296" t="s">
        <v>301</v>
      </c>
      <c r="Q15" s="297"/>
      <c r="R15" s="297"/>
      <c r="S15" s="297"/>
      <c r="T15" s="297"/>
      <c r="U15" s="297"/>
      <c r="V15" s="298">
        <f>V13+V14</f>
        <v>0</v>
      </c>
      <c r="W15" s="299">
        <f>W13+W14</f>
        <v>0</v>
      </c>
    </row>
    <row r="16" spans="1:30" x14ac:dyDescent="0.25">
      <c r="A16" s="300" t="s">
        <v>34</v>
      </c>
      <c r="B16" s="6" t="s">
        <v>1</v>
      </c>
      <c r="C16" s="264"/>
      <c r="D16" s="264"/>
      <c r="P16" s="289" t="s">
        <v>303</v>
      </c>
      <c r="Q16" s="290"/>
      <c r="R16" s="290"/>
      <c r="S16" s="290"/>
      <c r="T16" s="290"/>
      <c r="U16" s="290"/>
      <c r="V16" s="681">
        <f>Q69</f>
        <v>0</v>
      </c>
      <c r="W16" s="682">
        <f>V69</f>
        <v>0</v>
      </c>
    </row>
    <row r="17" spans="1:25" x14ac:dyDescent="0.25">
      <c r="A17" s="266"/>
      <c r="B17" s="301"/>
      <c r="C17" s="267" t="s">
        <v>9</v>
      </c>
      <c r="D17" s="302"/>
      <c r="E17" s="303" t="s">
        <v>50</v>
      </c>
      <c r="F17" s="291" t="s">
        <v>49</v>
      </c>
      <c r="G17" s="304"/>
      <c r="H17" s="304"/>
      <c r="I17" s="304"/>
      <c r="J17" s="304"/>
      <c r="K17" s="304"/>
      <c r="L17" s="304"/>
      <c r="M17" s="304"/>
      <c r="N17" s="305"/>
      <c r="O17" s="306"/>
      <c r="P17" s="307" t="s">
        <v>302</v>
      </c>
      <c r="Q17" s="308"/>
      <c r="R17" s="308"/>
      <c r="S17" s="308"/>
      <c r="T17" s="308"/>
      <c r="U17" s="308"/>
      <c r="V17" s="679">
        <f>V15-V16</f>
        <v>0</v>
      </c>
      <c r="W17" s="680">
        <f>W15-W16</f>
        <v>0</v>
      </c>
    </row>
    <row r="18" spans="1:25" ht="15" customHeight="1" x14ac:dyDescent="0.3">
      <c r="A18" s="266" t="s">
        <v>171</v>
      </c>
      <c r="B18" s="301" t="s">
        <v>156</v>
      </c>
      <c r="C18" s="115"/>
      <c r="D18" s="311" t="s">
        <v>26</v>
      </c>
      <c r="E18" s="112" t="s">
        <v>304</v>
      </c>
      <c r="F18" s="266"/>
      <c r="G18" s="312"/>
      <c r="H18" s="312"/>
      <c r="I18" s="312"/>
      <c r="J18" s="312"/>
      <c r="K18" s="312"/>
      <c r="L18" s="312"/>
      <c r="M18" s="312"/>
      <c r="N18" s="313"/>
      <c r="O18" s="306"/>
      <c r="U18" s="27"/>
      <c r="V18" s="69"/>
    </row>
    <row r="19" spans="1:25" ht="16.5" x14ac:dyDescent="0.3">
      <c r="A19" s="273" t="s">
        <v>15</v>
      </c>
      <c r="B19" s="274" t="s">
        <v>95</v>
      </c>
      <c r="C19" s="116"/>
      <c r="D19" s="314"/>
      <c r="E19" s="40"/>
      <c r="F19" s="315" t="str">
        <f>IF(B16="n","Jahreshöchstlast der Übergabestelle(n) lt. Eingangsrechnung/des Bezugssummenlastgangs","Summe der Jahreshöchstlasten lt. Eingangsrechnungen/Summe der Jahreshöchstlasten der Bezugslastgänge der ungepoolten Übergabestellen")</f>
        <v>Summe der Jahreshöchstlasten lt. Eingangsrechnungen/Summe der Jahreshöchstlasten der Bezugslastgänge der ungepoolten Übergabestellen</v>
      </c>
      <c r="G19" s="4"/>
      <c r="H19" s="4"/>
      <c r="I19" s="4"/>
      <c r="J19" s="4"/>
      <c r="K19" s="4"/>
      <c r="L19" s="4"/>
      <c r="M19" s="4"/>
      <c r="N19" s="316"/>
      <c r="O19" s="306"/>
      <c r="P19" s="291"/>
      <c r="Q19" s="304"/>
      <c r="R19" s="304"/>
      <c r="S19" s="304"/>
      <c r="T19" s="304"/>
      <c r="U19" s="304"/>
      <c r="V19" s="292"/>
      <c r="W19" s="326" t="s">
        <v>9</v>
      </c>
      <c r="X19" s="291"/>
      <c r="Y19" s="305" t="s">
        <v>50</v>
      </c>
    </row>
    <row r="20" spans="1:25" ht="16.5" customHeight="1" x14ac:dyDescent="0.3">
      <c r="A20" s="277" t="s">
        <v>0</v>
      </c>
      <c r="B20" s="317" t="s">
        <v>151</v>
      </c>
      <c r="C20" s="318">
        <f>MAX(C18+C19,0)</f>
        <v>0</v>
      </c>
      <c r="F20" s="319"/>
      <c r="H20" s="320"/>
      <c r="P20" s="266" t="s">
        <v>387</v>
      </c>
      <c r="Q20" s="312"/>
      <c r="R20" s="312"/>
      <c r="S20" s="312"/>
      <c r="U20" s="27"/>
      <c r="V20" s="301" t="s">
        <v>287</v>
      </c>
      <c r="W20" s="115"/>
      <c r="X20" s="301" t="s">
        <v>286</v>
      </c>
      <c r="Y20" s="148"/>
    </row>
    <row r="21" spans="1:25" ht="15" customHeight="1" x14ac:dyDescent="0.3">
      <c r="A21" s="306"/>
      <c r="B21" s="176"/>
      <c r="C21" s="321"/>
      <c r="D21" s="322"/>
      <c r="F21" s="319"/>
      <c r="G21" s="291" t="s">
        <v>424</v>
      </c>
      <c r="H21" s="304"/>
      <c r="I21" s="304"/>
      <c r="J21" s="502">
        <f>'vermNE HM'!U72</f>
        <v>0</v>
      </c>
      <c r="K21" s="502">
        <f>'vermNE HM'!U71</f>
        <v>0</v>
      </c>
      <c r="L21" s="304"/>
      <c r="M21" s="304"/>
      <c r="N21" s="305"/>
      <c r="P21" s="329" t="s">
        <v>285</v>
      </c>
      <c r="U21" s="27"/>
      <c r="V21" s="330" t="s">
        <v>288</v>
      </c>
      <c r="W21" s="113"/>
      <c r="X21" s="333" t="s">
        <v>286</v>
      </c>
      <c r="Y21" s="334">
        <f>Y20</f>
        <v>0</v>
      </c>
    </row>
    <row r="22" spans="1:25" ht="15" customHeight="1" x14ac:dyDescent="0.3">
      <c r="A22" s="266"/>
      <c r="B22" s="301"/>
      <c r="C22" s="323" t="s">
        <v>9</v>
      </c>
      <c r="D22" s="324"/>
      <c r="E22" s="325" t="str">
        <f>E17</f>
        <v>Zeitpunkt</v>
      </c>
      <c r="G22" s="266"/>
      <c r="H22" s="312"/>
      <c r="I22" s="312"/>
      <c r="J22" s="312"/>
      <c r="K22" s="312"/>
      <c r="L22" s="739" t="s">
        <v>376</v>
      </c>
      <c r="M22" s="751" t="s">
        <v>373</v>
      </c>
      <c r="N22" s="753" t="s">
        <v>372</v>
      </c>
      <c r="P22" s="335" t="s">
        <v>388</v>
      </c>
      <c r="Q22" s="4"/>
      <c r="R22" s="4"/>
      <c r="S22" s="4"/>
      <c r="T22" s="4"/>
      <c r="U22" s="4"/>
      <c r="V22" s="274" t="s">
        <v>390</v>
      </c>
      <c r="W22" s="114"/>
      <c r="X22" s="337" t="s">
        <v>286</v>
      </c>
      <c r="Y22" s="338">
        <f t="shared" ref="Y22:Y23" si="0">Y21</f>
        <v>0</v>
      </c>
    </row>
    <row r="23" spans="1:25" ht="15" customHeight="1" x14ac:dyDescent="0.3">
      <c r="A23" s="266" t="s">
        <v>172</v>
      </c>
      <c r="B23" s="301" t="s">
        <v>156</v>
      </c>
      <c r="C23" s="327">
        <f>C18</f>
        <v>0</v>
      </c>
      <c r="D23" s="311" t="s">
        <v>26</v>
      </c>
      <c r="E23" s="328" t="str">
        <f>IF($E$18="","",$E$18)</f>
        <v>noch einzutragen</v>
      </c>
      <c r="G23" s="306"/>
      <c r="L23" s="740"/>
      <c r="M23" s="752"/>
      <c r="N23" s="754"/>
      <c r="P23" s="291" t="s">
        <v>389</v>
      </c>
      <c r="Q23" s="304"/>
      <c r="R23" s="304"/>
      <c r="S23" s="304"/>
      <c r="T23" s="304"/>
      <c r="U23" s="304"/>
      <c r="V23" s="337" t="s">
        <v>391</v>
      </c>
      <c r="W23" s="342">
        <f>SUM(W20:W22)</f>
        <v>0</v>
      </c>
      <c r="X23" s="337" t="s">
        <v>286</v>
      </c>
      <c r="Y23" s="338">
        <f t="shared" si="0"/>
        <v>0</v>
      </c>
    </row>
    <row r="24" spans="1:25" ht="15" customHeight="1" x14ac:dyDescent="0.3">
      <c r="A24" s="329" t="s">
        <v>210</v>
      </c>
      <c r="B24" s="330" t="s">
        <v>173</v>
      </c>
      <c r="C24" s="113">
        <v>0</v>
      </c>
      <c r="D24" s="331" t="s">
        <v>26</v>
      </c>
      <c r="E24" s="332" t="str">
        <f>IF($E$18="","",$E$18)</f>
        <v>noch einzutragen</v>
      </c>
      <c r="G24" s="306"/>
      <c r="L24" s="740"/>
      <c r="M24" s="752"/>
      <c r="N24" s="754"/>
      <c r="W24" s="304"/>
    </row>
    <row r="25" spans="1:25" ht="16.5" customHeight="1" x14ac:dyDescent="0.3">
      <c r="A25" s="335" t="s">
        <v>68</v>
      </c>
      <c r="B25" s="274" t="s">
        <v>147</v>
      </c>
      <c r="C25" s="114"/>
      <c r="D25" s="314" t="s">
        <v>26</v>
      </c>
      <c r="E25" s="336" t="str">
        <f>IF($E$18="","",$E$18)</f>
        <v>noch einzutragen</v>
      </c>
      <c r="G25" s="306"/>
      <c r="L25" s="740"/>
      <c r="M25" s="752"/>
      <c r="N25" s="754"/>
      <c r="P25" s="266" t="s">
        <v>394</v>
      </c>
      <c r="Q25" s="312"/>
      <c r="R25" s="312"/>
      <c r="S25" s="312"/>
      <c r="T25" s="312"/>
      <c r="U25" s="312"/>
      <c r="V25" s="301" t="s">
        <v>290</v>
      </c>
      <c r="W25" s="349">
        <f>IF($C$28=1,
IF($D$67+$D$68&lt;&gt;0,(W23-R$66)/(($D$67+$D$68)/Allgemeines!$B$30),0),
IF($D$67&lt;&gt;0,R67/($D$67/Allgemeines!$B$30),0))</f>
        <v>0</v>
      </c>
    </row>
    <row r="26" spans="1:25" ht="16.5" customHeight="1" x14ac:dyDescent="0.3">
      <c r="A26" s="291" t="s">
        <v>174</v>
      </c>
      <c r="B26" s="292" t="s">
        <v>175</v>
      </c>
      <c r="C26" s="339">
        <f>SUM(C23:C25)</f>
        <v>0</v>
      </c>
      <c r="D26" s="314" t="s">
        <v>26</v>
      </c>
      <c r="E26" s="336" t="str">
        <f>IF($E$18="","",$E$18)</f>
        <v>noch einzutragen</v>
      </c>
      <c r="G26" s="315"/>
      <c r="H26" s="756" t="s">
        <v>375</v>
      </c>
      <c r="I26" s="756"/>
      <c r="J26" s="756"/>
      <c r="K26" s="756"/>
      <c r="L26" s="741"/>
      <c r="M26" s="340" t="s">
        <v>374</v>
      </c>
      <c r="N26" s="341" t="s">
        <v>476</v>
      </c>
      <c r="P26" s="315" t="s">
        <v>395</v>
      </c>
      <c r="Q26" s="4"/>
      <c r="R26" s="4"/>
      <c r="S26" s="4"/>
      <c r="T26" s="4"/>
      <c r="U26" s="4"/>
      <c r="V26" s="337" t="s">
        <v>291</v>
      </c>
      <c r="W26" s="351">
        <f>IF($C$28=1,W25,
IF($D$68&lt;&gt;0,(W23-SUM(R$38:R$49))/($D$68/Allgemeines!$B$30),0))</f>
        <v>0</v>
      </c>
    </row>
    <row r="27" spans="1:25" ht="16.5" customHeight="1" x14ac:dyDescent="0.25">
      <c r="B27" s="176"/>
      <c r="C27" s="66"/>
      <c r="D27" s="343"/>
      <c r="E27" s="344"/>
      <c r="G27" s="345" t="str">
        <f>CONCATENATE("Preisblatt für ",Allgemeines!B29)</f>
        <v>Preisblatt für 2027</v>
      </c>
      <c r="H27" s="755"/>
      <c r="I27" s="755"/>
      <c r="J27" s="755"/>
      <c r="K27" s="755"/>
      <c r="L27" s="346"/>
      <c r="M27" s="126"/>
      <c r="N27" s="127"/>
    </row>
    <row r="28" spans="1:25" x14ac:dyDescent="0.25">
      <c r="A28" s="266" t="s">
        <v>211</v>
      </c>
      <c r="B28" s="301"/>
      <c r="C28" s="347">
        <v>2</v>
      </c>
      <c r="D28" s="343"/>
      <c r="E28" s="319"/>
      <c r="G28" s="348" t="s">
        <v>325</v>
      </c>
      <c r="H28" s="757"/>
      <c r="I28" s="757"/>
      <c r="J28" s="757"/>
      <c r="K28" s="757"/>
      <c r="L28" s="135">
        <v>1</v>
      </c>
      <c r="M28" s="128"/>
      <c r="N28" s="129"/>
      <c r="U28" s="27"/>
      <c r="W28" s="553" t="s">
        <v>10</v>
      </c>
    </row>
    <row r="29" spans="1:25" ht="18" x14ac:dyDescent="0.25">
      <c r="A29" s="306" t="s">
        <v>212</v>
      </c>
      <c r="B29" s="333" t="s">
        <v>217</v>
      </c>
      <c r="C29" s="349">
        <f>IF($C$28=1,
IF($D$67+$D$68&lt;&gt;0,($C$26-G$66)/(($D$67+$D$68)/Allgemeines!$B$30),0),
IF($D$67&lt;&gt;0,G67/($D$67/Allgemeines!$B$30),0))</f>
        <v>0</v>
      </c>
      <c r="G29" s="350" t="s">
        <v>325</v>
      </c>
      <c r="H29" s="758"/>
      <c r="I29" s="758"/>
      <c r="J29" s="758"/>
      <c r="K29" s="758"/>
      <c r="L29" s="136"/>
      <c r="M29" s="125"/>
      <c r="N29" s="130"/>
      <c r="T29" s="291" t="s">
        <v>434</v>
      </c>
      <c r="U29" s="304"/>
      <c r="V29" s="304"/>
      <c r="W29" s="560">
        <v>0</v>
      </c>
    </row>
    <row r="30" spans="1:25" ht="18" x14ac:dyDescent="0.25">
      <c r="A30" s="315" t="s">
        <v>213</v>
      </c>
      <c r="B30" s="337" t="s">
        <v>218</v>
      </c>
      <c r="C30" s="351">
        <f>IF($C$28=1,C29,
IF($D$68&lt;&gt;0,($C$26-SUM(H$38:H$49))/($D$68/Allgemeines!$B$30),0))</f>
        <v>0</v>
      </c>
      <c r="D30" s="352"/>
      <c r="G30" s="350" t="s">
        <v>325</v>
      </c>
      <c r="H30" s="758"/>
      <c r="I30" s="758"/>
      <c r="J30" s="758"/>
      <c r="K30" s="758"/>
      <c r="L30" s="136"/>
      <c r="M30" s="125"/>
      <c r="N30" s="130"/>
      <c r="T30" s="306" t="s">
        <v>435</v>
      </c>
      <c r="U30" s="27"/>
      <c r="W30" s="499">
        <f>W29-W31</f>
        <v>0</v>
      </c>
    </row>
    <row r="31" spans="1:25" ht="16.5" x14ac:dyDescent="0.3">
      <c r="A31" s="315" t="s">
        <v>181</v>
      </c>
      <c r="B31" s="337" t="s">
        <v>31</v>
      </c>
      <c r="C31" s="342">
        <f>IF(C26&lt;&gt;0,C20/C26,0)</f>
        <v>0</v>
      </c>
      <c r="D31" s="352"/>
      <c r="G31" s="350" t="s">
        <v>325</v>
      </c>
      <c r="H31" s="758"/>
      <c r="I31" s="758"/>
      <c r="J31" s="758"/>
      <c r="K31" s="758"/>
      <c r="L31" s="136"/>
      <c r="M31" s="125"/>
      <c r="N31" s="130"/>
      <c r="T31" s="315" t="s">
        <v>436</v>
      </c>
      <c r="U31" s="4"/>
      <c r="V31" s="4"/>
      <c r="W31" s="500">
        <f>SUM(HSmL[Spalte222])+SUM(HSoL[Spalte222])</f>
        <v>0</v>
      </c>
    </row>
    <row r="32" spans="1:25" x14ac:dyDescent="0.25">
      <c r="B32" s="176"/>
      <c r="C32" s="321"/>
      <c r="D32" s="352"/>
      <c r="G32" s="353" t="s">
        <v>325</v>
      </c>
      <c r="H32" s="759"/>
      <c r="I32" s="759"/>
      <c r="J32" s="759"/>
      <c r="K32" s="759"/>
      <c r="L32" s="137"/>
      <c r="M32" s="131"/>
      <c r="N32" s="132"/>
    </row>
    <row r="33" spans="1:31" x14ac:dyDescent="0.25">
      <c r="B33" s="176"/>
      <c r="C33" s="321"/>
      <c r="D33" s="352"/>
      <c r="U33" s="27"/>
    </row>
    <row r="34" spans="1:31" ht="15.75" thickBot="1" x14ac:dyDescent="0.3">
      <c r="A34" s="354" t="s">
        <v>416</v>
      </c>
      <c r="B34" s="355"/>
      <c r="C34" s="355"/>
      <c r="D34" s="355"/>
      <c r="E34" s="355"/>
      <c r="F34" s="355"/>
      <c r="G34" s="356"/>
      <c r="H34" s="356"/>
      <c r="I34" s="356"/>
      <c r="J34" s="356"/>
      <c r="K34" s="356"/>
      <c r="L34" s="356"/>
      <c r="M34" s="357"/>
      <c r="N34" s="355"/>
      <c r="O34" s="355"/>
      <c r="P34" s="355"/>
      <c r="Q34" s="355"/>
      <c r="R34" s="355"/>
      <c r="S34" s="355"/>
      <c r="T34" s="355"/>
      <c r="U34" s="355"/>
      <c r="V34" s="355"/>
      <c r="W34" s="355"/>
      <c r="X34" s="355"/>
      <c r="Y34" s="355"/>
      <c r="Z34" s="356"/>
      <c r="AA34" s="356"/>
      <c r="AB34" s="355"/>
      <c r="AC34" s="355"/>
      <c r="AD34" s="355"/>
      <c r="AE34" s="355"/>
    </row>
    <row r="35" spans="1:31" s="69" customFormat="1" ht="90.75" x14ac:dyDescent="0.3">
      <c r="A35" s="358" t="s">
        <v>331</v>
      </c>
      <c r="B35" s="359" t="s">
        <v>369</v>
      </c>
      <c r="C35" s="359" t="s">
        <v>321</v>
      </c>
      <c r="D35" s="359" t="s">
        <v>8</v>
      </c>
      <c r="E35" s="360" t="s">
        <v>29</v>
      </c>
      <c r="F35" s="361" t="s">
        <v>2</v>
      </c>
      <c r="G35" s="359" t="s">
        <v>384</v>
      </c>
      <c r="H35" s="362" t="s">
        <v>385</v>
      </c>
      <c r="I35" s="363" t="s">
        <v>386</v>
      </c>
      <c r="J35" s="364" t="s">
        <v>363</v>
      </c>
      <c r="K35" s="364" t="s">
        <v>364</v>
      </c>
      <c r="L35" s="364" t="s">
        <v>376</v>
      </c>
      <c r="M35" s="364" t="s">
        <v>330</v>
      </c>
      <c r="N35" s="365" t="s">
        <v>254</v>
      </c>
      <c r="O35" s="366" t="s">
        <v>255</v>
      </c>
      <c r="P35" s="367" t="s">
        <v>318</v>
      </c>
      <c r="Q35" s="368" t="s">
        <v>256</v>
      </c>
      <c r="R35" s="359" t="s">
        <v>502</v>
      </c>
      <c r="S35" s="359" t="s">
        <v>501</v>
      </c>
      <c r="T35" s="369" t="s">
        <v>397</v>
      </c>
      <c r="U35" s="117" t="s">
        <v>298</v>
      </c>
      <c r="V35" s="368" t="s">
        <v>257</v>
      </c>
      <c r="W35" s="554" t="s">
        <v>439</v>
      </c>
      <c r="X35" s="656" t="s">
        <v>258</v>
      </c>
      <c r="Y35" s="657" t="s">
        <v>259</v>
      </c>
      <c r="Z35" s="365" t="str">
        <f>CONCATENATE("vermNE
Arbeit
ohne Rückspeisung
Preisblatt
für ",Allgemeines!B29)</f>
        <v>vermNE
Arbeit
ohne Rückspeisung
Preisblatt
für 2027</v>
      </c>
      <c r="AA35" s="365" t="str">
        <f>CONCATENATE("vermNE 
Leistung
ohne Rückspeisung
Preisblatt 
für ",Allgemeines!B29)</f>
        <v>vermNE 
Leistung
ohne Rückspeisung
Preisblatt 
für 2027</v>
      </c>
      <c r="AB35" s="370" t="str">
        <f>CONCATENATE("vermNE 
ohne Rückspeisung
Preisblatt 
für ",Allgemeines!B29)</f>
        <v>vermNE 
ohne Rückspeisung
Preisblatt 
für 2027</v>
      </c>
      <c r="AC35" s="365" t="s">
        <v>370</v>
      </c>
      <c r="AD35" s="368" t="s">
        <v>371</v>
      </c>
      <c r="AE35" s="366" t="s">
        <v>326</v>
      </c>
    </row>
    <row r="36" spans="1:31" s="69" customFormat="1" ht="15.75" thickBot="1" x14ac:dyDescent="0.3">
      <c r="A36" s="371"/>
      <c r="B36" s="372"/>
      <c r="C36" s="372"/>
      <c r="D36" s="372" t="s">
        <v>7</v>
      </c>
      <c r="E36" s="373" t="s">
        <v>7</v>
      </c>
      <c r="F36" s="374"/>
      <c r="G36" s="375" t="s">
        <v>9</v>
      </c>
      <c r="H36" s="375" t="s">
        <v>9</v>
      </c>
      <c r="I36" s="376" t="s">
        <v>9</v>
      </c>
      <c r="J36" s="377"/>
      <c r="K36" s="378"/>
      <c r="L36" s="378"/>
      <c r="M36" s="378"/>
      <c r="N36" s="379" t="s">
        <v>10</v>
      </c>
      <c r="O36" s="380" t="s">
        <v>10</v>
      </c>
      <c r="P36" s="381" t="s">
        <v>7</v>
      </c>
      <c r="Q36" s="382" t="s">
        <v>10</v>
      </c>
      <c r="R36" s="375" t="s">
        <v>9</v>
      </c>
      <c r="S36" s="375" t="s">
        <v>9</v>
      </c>
      <c r="T36" s="383" t="s">
        <v>9</v>
      </c>
      <c r="U36" s="372" t="str">
        <f>CHOOSE(RIGHT(U$35,1),P36,R36,T36)</f>
        <v>[kW]</v>
      </c>
      <c r="V36" s="382" t="s">
        <v>10</v>
      </c>
      <c r="W36" s="555" t="s">
        <v>10</v>
      </c>
      <c r="X36" s="658" t="s">
        <v>10</v>
      </c>
      <c r="Y36" s="659" t="s">
        <v>10</v>
      </c>
      <c r="Z36" s="379" t="s">
        <v>10</v>
      </c>
      <c r="AA36" s="379" t="s">
        <v>10</v>
      </c>
      <c r="AB36" s="384" t="s">
        <v>10</v>
      </c>
      <c r="AC36" s="379" t="s">
        <v>10</v>
      </c>
      <c r="AD36" s="382" t="s">
        <v>10</v>
      </c>
      <c r="AE36" s="380" t="s">
        <v>10</v>
      </c>
    </row>
    <row r="37" spans="1:31" s="69" customFormat="1" ht="15" hidden="1" customHeight="1" thickBot="1" x14ac:dyDescent="0.3">
      <c r="A37" s="385" t="s">
        <v>261</v>
      </c>
      <c r="B37" s="386" t="s">
        <v>262</v>
      </c>
      <c r="C37" s="386" t="s">
        <v>263</v>
      </c>
      <c r="D37" s="386" t="s">
        <v>264</v>
      </c>
      <c r="E37" s="387" t="s">
        <v>265</v>
      </c>
      <c r="F37" s="388" t="s">
        <v>266</v>
      </c>
      <c r="G37" s="386" t="s">
        <v>409</v>
      </c>
      <c r="H37" s="389" t="s">
        <v>410</v>
      </c>
      <c r="I37" s="390" t="s">
        <v>267</v>
      </c>
      <c r="J37" s="391" t="s">
        <v>268</v>
      </c>
      <c r="K37" s="391" t="s">
        <v>269</v>
      </c>
      <c r="L37" s="391" t="s">
        <v>270</v>
      </c>
      <c r="M37" s="391" t="s">
        <v>271</v>
      </c>
      <c r="N37" s="392" t="s">
        <v>272</v>
      </c>
      <c r="O37" s="393" t="s">
        <v>273</v>
      </c>
      <c r="P37" s="394" t="s">
        <v>274</v>
      </c>
      <c r="Q37" s="395" t="s">
        <v>275</v>
      </c>
      <c r="R37" s="386" t="s">
        <v>276</v>
      </c>
      <c r="S37" s="386" t="s">
        <v>277</v>
      </c>
      <c r="T37" s="396" t="s">
        <v>278</v>
      </c>
      <c r="U37" s="711" t="s">
        <v>319</v>
      </c>
      <c r="V37" s="395" t="s">
        <v>320</v>
      </c>
      <c r="W37" s="392" t="s">
        <v>438</v>
      </c>
      <c r="X37" s="660" t="s">
        <v>327</v>
      </c>
      <c r="Y37" s="661" t="s">
        <v>339</v>
      </c>
      <c r="Z37" s="392" t="s">
        <v>340</v>
      </c>
      <c r="AA37" s="392" t="s">
        <v>341</v>
      </c>
      <c r="AB37" s="397" t="s">
        <v>342</v>
      </c>
      <c r="AC37" s="392" t="s">
        <v>343</v>
      </c>
      <c r="AD37" s="395" t="s">
        <v>344</v>
      </c>
      <c r="AE37" s="393" t="s">
        <v>345</v>
      </c>
    </row>
    <row r="38" spans="1:31" x14ac:dyDescent="0.25">
      <c r="A38" s="149"/>
      <c r="B38" s="1"/>
      <c r="C38" s="1"/>
      <c r="D38" s="150"/>
      <c r="E38" s="398">
        <f>D38*$C$14</f>
        <v>0</v>
      </c>
      <c r="F38" s="5"/>
      <c r="G38" s="111"/>
      <c r="H38" s="399">
        <f>IF($F38="j",$D38/Allgemeines!$B$30*$C$29,G38)</f>
        <v>0</v>
      </c>
      <c r="I38" s="400">
        <f>H38*$C$31</f>
        <v>0</v>
      </c>
      <c r="J38" s="139">
        <f>IF(AND(F38&lt;&gt;"",B38="Rückspeisung eN",Allgemeines!$B$29&lt;=2028),$J$21,0)
+IF(AND(F38&lt;&gt;"",OR(B38="EEG-nvol",B38="KWKG",B38="Sonstige-nvol"),AND(OR(C38="&lt;= 2022",C38&lt;=2022),Allgemeines!$B$29&lt;=2025)),1,0)
+IF(AND(F38&lt;&gt;"",OR(B38="EEG-nvol",B38="KWKG",B38="Sonstige-nvol"),AND(OR(C38="&lt;= 2022",C38&lt;=2022),Allgemeines!$B$29&gt;=2026)),1-(Allgemeines!$B$29-2025)/4,0)
+IF(AND(F38&lt;&gt;"",OR(B38="EEG-vol",B38="Sonstige-vol"),OR(C38="&lt;= 2017",C38&lt;=2017),C38&gt;1900),MIN(1,MAX(0,1-(Allgemeines!$B$29-2017)/3)),0)</f>
        <v>0</v>
      </c>
      <c r="K38" s="139">
        <f t="shared" ref="K38:K49" si="1">IF(B38="Rückspeisung eN",$K$21,J38)</f>
        <v>0</v>
      </c>
      <c r="L38" s="138"/>
      <c r="M38" s="401" t="str">
        <f t="shared" ref="M38:M49" si="2">IF(MAX($AE38,$AB38)&gt;0,
IF($AE38&lt;$AB38,"R","A"),"")</f>
        <v/>
      </c>
      <c r="N38" s="402">
        <f t="shared" ref="N38:N49" si="3">IF($AE38&lt;$AB38,AC38,Z38)</f>
        <v>0</v>
      </c>
      <c r="O38" s="403">
        <f t="shared" ref="O38:O49" si="4">IF($AE38&lt;$AB38,AD38,AA38)</f>
        <v>0</v>
      </c>
      <c r="P38" s="404">
        <f t="shared" ref="P38:P49" si="5">D38*J38</f>
        <v>0</v>
      </c>
      <c r="Q38" s="405">
        <f t="shared" ref="Q38:Q49" si="6">IF($P$69&gt;0,$V$15*P38/$P$69,0)</f>
        <v>0</v>
      </c>
      <c r="R38" s="111"/>
      <c r="S38" s="399">
        <f>IF($F38="j",$D38/Allgemeines!$B$30*W$25,R38)*$K38</f>
        <v>0</v>
      </c>
      <c r="T38" s="406">
        <f t="shared" ref="T38:T49" si="7">H38*K38</f>
        <v>0</v>
      </c>
      <c r="U38" s="399">
        <f t="shared" ref="U38:U49" si="8">CHOOSE(RIGHT(U$35,1),P38,S38,T38)</f>
        <v>0</v>
      </c>
      <c r="V38" s="405">
        <f t="shared" ref="V38:V49" si="9">IF($U$69&gt;0,$W$15*U38/$U$69,0)</f>
        <v>0</v>
      </c>
      <c r="W38" s="558"/>
      <c r="X38" s="672">
        <f t="shared" ref="X38:X49" si="10">N38+Q38</f>
        <v>0</v>
      </c>
      <c r="Y38" s="663">
        <f t="shared" ref="Y38:Y49" si="11">O38+V38</f>
        <v>0</v>
      </c>
      <c r="Z38" s="402">
        <f t="shared" ref="Z38:Z49" si="12">IF(L38&lt;&gt;0,E38*M$27/100*$J38,0)</f>
        <v>0</v>
      </c>
      <c r="AA38" s="408">
        <f t="shared" ref="AA38:AA49" si="13">IF(AND(F38&lt;&gt;"",L38&lt;&gt;0),I38*N$27*$K38,0)</f>
        <v>0</v>
      </c>
      <c r="AB38" s="409">
        <f>Z38+AA38</f>
        <v>0</v>
      </c>
      <c r="AC38" s="402">
        <f t="shared" ref="AC38:AC49" si="14">IF(L38&lt;&gt;"",E38*IFERROR(VLOOKUP(L38,$L$28:$N$32,2,FALSE),0)/100*$J38,0)</f>
        <v>0</v>
      </c>
      <c r="AD38" s="408">
        <f t="shared" ref="AD38:AD49" si="15">IF(AND(F38&lt;&gt;"",L38&lt;&gt;""),I38*IFERROR(VLOOKUP(L38,$L$28:$N$32,3,FALSE),0)*$K38,0)</f>
        <v>0</v>
      </c>
      <c r="AE38" s="410">
        <f>AC38+AD38</f>
        <v>0</v>
      </c>
    </row>
    <row r="39" spans="1:31" x14ac:dyDescent="0.25">
      <c r="A39" s="133"/>
      <c r="B39" s="1"/>
      <c r="C39" s="1"/>
      <c r="D39" s="30"/>
      <c r="E39" s="398">
        <f t="shared" ref="E39:E49" si="16">D39*$C$14</f>
        <v>0</v>
      </c>
      <c r="F39" s="5"/>
      <c r="G39" s="111"/>
      <c r="H39" s="321">
        <f>IF(F39="j",D39/Allgemeines!$B$30*$C$29,G39)</f>
        <v>0</v>
      </c>
      <c r="I39" s="411">
        <f t="shared" ref="I39:I49" si="17">H39*$C$31</f>
        <v>0</v>
      </c>
      <c r="J39" s="139">
        <f>IF(AND(F39&lt;&gt;"",B39="Rückspeisung eN",Allgemeines!$B$29&lt;=2028),$J$21,0)
+IF(AND(F39&lt;&gt;"",OR(B39="EEG-nvol",B39="KWKG",B39="Sonstige-nvol"),AND(OR(C39="&lt;= 2022",C39&lt;=2022),Allgemeines!$B$29&lt;=2025)),1,0)
+IF(AND(F39&lt;&gt;"",OR(B39="EEG-nvol",B39="KWKG",B39="Sonstige-nvol"),AND(OR(C39="&lt;= 2022",C39&lt;=2022),Allgemeines!$B$29&gt;=2026)),1-(Allgemeines!$B$29-2025)/4,0)
+IF(AND(F39&lt;&gt;"",OR(B39="EEG-vol",B39="Sonstige-vol"),OR(C39="&lt;= 2017",C39&lt;=2017),C39&gt;1900),MIN(1,MAX(0,1-(Allgemeines!$B$29-2017)/3)),0)</f>
        <v>0</v>
      </c>
      <c r="K39" s="139">
        <f t="shared" si="1"/>
        <v>0</v>
      </c>
      <c r="L39" s="138"/>
      <c r="M39" s="69" t="str">
        <f t="shared" si="2"/>
        <v/>
      </c>
      <c r="N39" s="402">
        <f t="shared" si="3"/>
        <v>0</v>
      </c>
      <c r="O39" s="403">
        <f t="shared" si="4"/>
        <v>0</v>
      </c>
      <c r="P39" s="404">
        <f t="shared" si="5"/>
        <v>0</v>
      </c>
      <c r="Q39" s="405">
        <f t="shared" si="6"/>
        <v>0</v>
      </c>
      <c r="R39" s="111"/>
      <c r="S39" s="321">
        <f>IF($F39="j",$D39/Allgemeines!$B$30*W$25,R39)*$K39</f>
        <v>0</v>
      </c>
      <c r="T39" s="406">
        <f t="shared" si="7"/>
        <v>0</v>
      </c>
      <c r="U39" s="399">
        <f t="shared" si="8"/>
        <v>0</v>
      </c>
      <c r="V39" s="405">
        <f t="shared" si="9"/>
        <v>0</v>
      </c>
      <c r="W39" s="558"/>
      <c r="X39" s="662">
        <f t="shared" si="10"/>
        <v>0</v>
      </c>
      <c r="Y39" s="663">
        <f t="shared" si="11"/>
        <v>0</v>
      </c>
      <c r="Z39" s="402">
        <f t="shared" si="12"/>
        <v>0</v>
      </c>
      <c r="AA39" s="408">
        <f t="shared" si="13"/>
        <v>0</v>
      </c>
      <c r="AB39" s="409">
        <f t="shared" ref="AB39:AB49" si="18">Z39+AA39</f>
        <v>0</v>
      </c>
      <c r="AC39" s="402">
        <f t="shared" si="14"/>
        <v>0</v>
      </c>
      <c r="AD39" s="405">
        <f t="shared" si="15"/>
        <v>0</v>
      </c>
      <c r="AE39" s="412">
        <f t="shared" ref="AE39:AE49" si="19">AC39+AD39</f>
        <v>0</v>
      </c>
    </row>
    <row r="40" spans="1:31" x14ac:dyDescent="0.25">
      <c r="A40" s="133"/>
      <c r="B40" s="1"/>
      <c r="C40" s="1"/>
      <c r="D40" s="2"/>
      <c r="E40" s="398">
        <f t="shared" si="16"/>
        <v>0</v>
      </c>
      <c r="F40" s="5"/>
      <c r="G40" s="111"/>
      <c r="H40" s="321">
        <f>IF(F40="j",D40/Allgemeines!$B$30*$C$29,G40)</f>
        <v>0</v>
      </c>
      <c r="I40" s="411">
        <f t="shared" si="17"/>
        <v>0</v>
      </c>
      <c r="J40" s="139">
        <f>IF(AND(F40&lt;&gt;"",B40="Rückspeisung eN",Allgemeines!$B$29&lt;=2028),$J$21,0)
+IF(AND(F40&lt;&gt;"",OR(B40="EEG-nvol",B40="KWKG",B40="Sonstige-nvol"),AND(OR(C40="&lt;= 2022",C40&lt;=2022),Allgemeines!$B$29&lt;=2025)),1,0)
+IF(AND(F40&lt;&gt;"",OR(B40="EEG-nvol",B40="KWKG",B40="Sonstige-nvol"),AND(OR(C40="&lt;= 2022",C40&lt;=2022),Allgemeines!$B$29&gt;=2026)),1-(Allgemeines!$B$29-2025)/4,0)
+IF(AND(F40&lt;&gt;"",OR(B40="EEG-vol",B40="Sonstige-vol"),OR(C40="&lt;= 2017",C40&lt;=2017),C40&gt;1900),MIN(1,MAX(0,1-(Allgemeines!$B$29-2017)/3)),0)</f>
        <v>0</v>
      </c>
      <c r="K40" s="139">
        <f t="shared" si="1"/>
        <v>0</v>
      </c>
      <c r="L40" s="138"/>
      <c r="M40" s="71" t="str">
        <f t="shared" si="2"/>
        <v/>
      </c>
      <c r="N40" s="402">
        <f t="shared" si="3"/>
        <v>0</v>
      </c>
      <c r="O40" s="403">
        <f t="shared" si="4"/>
        <v>0</v>
      </c>
      <c r="P40" s="404">
        <f t="shared" si="5"/>
        <v>0</v>
      </c>
      <c r="Q40" s="405">
        <f t="shared" si="6"/>
        <v>0</v>
      </c>
      <c r="R40" s="111"/>
      <c r="S40" s="321">
        <f>IF($F40="j",$D40/Allgemeines!$B$30*W$25,R40)*$K40</f>
        <v>0</v>
      </c>
      <c r="T40" s="406">
        <f t="shared" si="7"/>
        <v>0</v>
      </c>
      <c r="U40" s="399">
        <f t="shared" si="8"/>
        <v>0</v>
      </c>
      <c r="V40" s="405">
        <f t="shared" si="9"/>
        <v>0</v>
      </c>
      <c r="W40" s="558"/>
      <c r="X40" s="662">
        <f t="shared" si="10"/>
        <v>0</v>
      </c>
      <c r="Y40" s="663">
        <f t="shared" si="11"/>
        <v>0</v>
      </c>
      <c r="Z40" s="402">
        <f t="shared" si="12"/>
        <v>0</v>
      </c>
      <c r="AA40" s="408">
        <f t="shared" si="13"/>
        <v>0</v>
      </c>
      <c r="AB40" s="409">
        <f t="shared" si="18"/>
        <v>0</v>
      </c>
      <c r="AC40" s="402">
        <f t="shared" si="14"/>
        <v>0</v>
      </c>
      <c r="AD40" s="405">
        <f t="shared" si="15"/>
        <v>0</v>
      </c>
      <c r="AE40" s="412">
        <f t="shared" si="19"/>
        <v>0</v>
      </c>
    </row>
    <row r="41" spans="1:31" x14ac:dyDescent="0.25">
      <c r="A41" s="133"/>
      <c r="B41" s="1"/>
      <c r="C41" s="1"/>
      <c r="D41" s="2"/>
      <c r="E41" s="398">
        <f t="shared" si="16"/>
        <v>0</v>
      </c>
      <c r="F41" s="5"/>
      <c r="G41" s="111"/>
      <c r="H41" s="321">
        <f>IF(F41="j",D41/Allgemeines!$B$30*$C$29,G41)</f>
        <v>0</v>
      </c>
      <c r="I41" s="411">
        <f t="shared" si="17"/>
        <v>0</v>
      </c>
      <c r="J41" s="139">
        <f>IF(AND(F41&lt;&gt;"",B41="Rückspeisung eN",Allgemeines!$B$29&lt;=2028),$J$21,0)
+IF(AND(F41&lt;&gt;"",OR(B41="EEG-nvol",B41="KWKG",B41="Sonstige-nvol"),AND(OR(C41="&lt;= 2022",C41&lt;=2022),Allgemeines!$B$29&lt;=2025)),1,0)
+IF(AND(F41&lt;&gt;"",OR(B41="EEG-nvol",B41="KWKG",B41="Sonstige-nvol"),AND(OR(C41="&lt;= 2022",C41&lt;=2022),Allgemeines!$B$29&gt;=2026)),1-(Allgemeines!$B$29-2025)/4,0)
+IF(AND(F41&lt;&gt;"",OR(B41="EEG-vol",B41="Sonstige-vol"),OR(C41="&lt;= 2017",C41&lt;=2017),C41&gt;1900),MIN(1,MAX(0,1-(Allgemeines!$B$29-2017)/3)),0)</f>
        <v>0</v>
      </c>
      <c r="K41" s="139">
        <f t="shared" si="1"/>
        <v>0</v>
      </c>
      <c r="L41" s="138"/>
      <c r="M41" s="71" t="str">
        <f t="shared" si="2"/>
        <v/>
      </c>
      <c r="N41" s="402">
        <f t="shared" si="3"/>
        <v>0</v>
      </c>
      <c r="O41" s="403">
        <f t="shared" si="4"/>
        <v>0</v>
      </c>
      <c r="P41" s="404">
        <f t="shared" si="5"/>
        <v>0</v>
      </c>
      <c r="Q41" s="405">
        <f t="shared" si="6"/>
        <v>0</v>
      </c>
      <c r="R41" s="111"/>
      <c r="S41" s="321">
        <f>IF($F41="j",$D41/Allgemeines!$B$30*W$25,R41)*$K41</f>
        <v>0</v>
      </c>
      <c r="T41" s="406">
        <f t="shared" si="7"/>
        <v>0</v>
      </c>
      <c r="U41" s="399">
        <f t="shared" si="8"/>
        <v>0</v>
      </c>
      <c r="V41" s="405">
        <f t="shared" si="9"/>
        <v>0</v>
      </c>
      <c r="W41" s="558"/>
      <c r="X41" s="662">
        <f t="shared" si="10"/>
        <v>0</v>
      </c>
      <c r="Y41" s="663">
        <f t="shared" si="11"/>
        <v>0</v>
      </c>
      <c r="Z41" s="402">
        <f t="shared" si="12"/>
        <v>0</v>
      </c>
      <c r="AA41" s="408">
        <f t="shared" si="13"/>
        <v>0</v>
      </c>
      <c r="AB41" s="409">
        <f t="shared" si="18"/>
        <v>0</v>
      </c>
      <c r="AC41" s="402">
        <f t="shared" si="14"/>
        <v>0</v>
      </c>
      <c r="AD41" s="405">
        <f t="shared" si="15"/>
        <v>0</v>
      </c>
      <c r="AE41" s="412">
        <f t="shared" si="19"/>
        <v>0</v>
      </c>
    </row>
    <row r="42" spans="1:31" x14ac:dyDescent="0.25">
      <c r="A42" s="133"/>
      <c r="B42" s="1"/>
      <c r="C42" s="1"/>
      <c r="D42" s="2"/>
      <c r="E42" s="398">
        <f t="shared" si="16"/>
        <v>0</v>
      </c>
      <c r="F42" s="5"/>
      <c r="G42" s="111"/>
      <c r="H42" s="321">
        <f>IF(F42="j",D42/Allgemeines!$B$30*$C$29,G42)</f>
        <v>0</v>
      </c>
      <c r="I42" s="411">
        <f t="shared" si="17"/>
        <v>0</v>
      </c>
      <c r="J42" s="139">
        <f>IF(AND(F42&lt;&gt;"",B42="Rückspeisung eN",Allgemeines!$B$29&lt;=2028),$J$21,0)
+IF(AND(F42&lt;&gt;"",OR(B42="EEG-nvol",B42="KWKG",B42="Sonstige-nvol"),AND(OR(C42="&lt;= 2022",C42&lt;=2022),Allgemeines!$B$29&lt;=2025)),1,0)
+IF(AND(F42&lt;&gt;"",OR(B42="EEG-nvol",B42="KWKG",B42="Sonstige-nvol"),AND(OR(C42="&lt;= 2022",C42&lt;=2022),Allgemeines!$B$29&gt;=2026)),1-(Allgemeines!$B$29-2025)/4,0)
+IF(AND(F42&lt;&gt;"",OR(B42="EEG-vol",B42="Sonstige-vol"),OR(C42="&lt;= 2017",C42&lt;=2017),C42&gt;1900),MIN(1,MAX(0,1-(Allgemeines!$B$29-2017)/3)),0)</f>
        <v>0</v>
      </c>
      <c r="K42" s="139">
        <f t="shared" si="1"/>
        <v>0</v>
      </c>
      <c r="L42" s="138"/>
      <c r="M42" s="71" t="str">
        <f t="shared" si="2"/>
        <v/>
      </c>
      <c r="N42" s="402">
        <f t="shared" si="3"/>
        <v>0</v>
      </c>
      <c r="O42" s="403">
        <f t="shared" si="4"/>
        <v>0</v>
      </c>
      <c r="P42" s="404">
        <f t="shared" si="5"/>
        <v>0</v>
      </c>
      <c r="Q42" s="405">
        <f t="shared" si="6"/>
        <v>0</v>
      </c>
      <c r="R42" s="111"/>
      <c r="S42" s="321">
        <f>IF($F42="j",$D42/Allgemeines!$B$30*W$25,R42)*$K42</f>
        <v>0</v>
      </c>
      <c r="T42" s="406">
        <f t="shared" si="7"/>
        <v>0</v>
      </c>
      <c r="U42" s="399">
        <f t="shared" si="8"/>
        <v>0</v>
      </c>
      <c r="V42" s="405">
        <f t="shared" si="9"/>
        <v>0</v>
      </c>
      <c r="W42" s="558"/>
      <c r="X42" s="662">
        <f t="shared" si="10"/>
        <v>0</v>
      </c>
      <c r="Y42" s="663">
        <f t="shared" si="11"/>
        <v>0</v>
      </c>
      <c r="Z42" s="402">
        <f t="shared" si="12"/>
        <v>0</v>
      </c>
      <c r="AA42" s="408">
        <f t="shared" si="13"/>
        <v>0</v>
      </c>
      <c r="AB42" s="409">
        <f t="shared" si="18"/>
        <v>0</v>
      </c>
      <c r="AC42" s="402">
        <f t="shared" si="14"/>
        <v>0</v>
      </c>
      <c r="AD42" s="405">
        <f t="shared" si="15"/>
        <v>0</v>
      </c>
      <c r="AE42" s="412">
        <f t="shared" si="19"/>
        <v>0</v>
      </c>
    </row>
    <row r="43" spans="1:31" x14ac:dyDescent="0.25">
      <c r="A43" s="134"/>
      <c r="B43" s="1"/>
      <c r="C43" s="1"/>
      <c r="D43" s="2"/>
      <c r="E43" s="398">
        <f>D43*$C$14</f>
        <v>0</v>
      </c>
      <c r="F43" s="5"/>
      <c r="G43" s="111"/>
      <c r="H43" s="321">
        <f>IF(F43="j",D43/Allgemeines!$B$30*$C$29,G43)</f>
        <v>0</v>
      </c>
      <c r="I43" s="411">
        <f t="shared" si="17"/>
        <v>0</v>
      </c>
      <c r="J43" s="139">
        <f>IF(AND(F43&lt;&gt;"",B43="Rückspeisung eN",Allgemeines!$B$29&lt;=2028),$J$21,0)
+IF(AND(F43&lt;&gt;"",OR(B43="EEG-nvol",B43="KWKG",B43="Sonstige-nvol"),AND(OR(C43="&lt;= 2022",C43&lt;=2022),Allgemeines!$B$29&lt;=2025)),1,0)
+IF(AND(F43&lt;&gt;"",OR(B43="EEG-nvol",B43="KWKG",B43="Sonstige-nvol"),AND(OR(C43="&lt;= 2022",C43&lt;=2022),Allgemeines!$B$29&gt;=2026)),1-(Allgemeines!$B$29-2025)/4,0)
+IF(AND(F43&lt;&gt;"",OR(B43="EEG-vol",B43="Sonstige-vol"),OR(C43="&lt;= 2017",C43&lt;=2017),C43&gt;1900),MIN(1,MAX(0,1-(Allgemeines!$B$29-2017)/3)),0)</f>
        <v>0</v>
      </c>
      <c r="K43" s="139">
        <f t="shared" si="1"/>
        <v>0</v>
      </c>
      <c r="L43" s="138"/>
      <c r="M43" s="71" t="str">
        <f t="shared" si="2"/>
        <v/>
      </c>
      <c r="N43" s="402">
        <f t="shared" si="3"/>
        <v>0</v>
      </c>
      <c r="O43" s="403">
        <f t="shared" si="4"/>
        <v>0</v>
      </c>
      <c r="P43" s="404">
        <f t="shared" si="5"/>
        <v>0</v>
      </c>
      <c r="Q43" s="405">
        <f t="shared" si="6"/>
        <v>0</v>
      </c>
      <c r="R43" s="111"/>
      <c r="S43" s="321">
        <f>IF($F43="j",$D43/Allgemeines!$B$30*W$25,R43)*$K43</f>
        <v>0</v>
      </c>
      <c r="T43" s="406">
        <f t="shared" si="7"/>
        <v>0</v>
      </c>
      <c r="U43" s="399">
        <f t="shared" si="8"/>
        <v>0</v>
      </c>
      <c r="V43" s="405">
        <f t="shared" si="9"/>
        <v>0</v>
      </c>
      <c r="W43" s="558"/>
      <c r="X43" s="662">
        <f t="shared" si="10"/>
        <v>0</v>
      </c>
      <c r="Y43" s="663">
        <f t="shared" si="11"/>
        <v>0</v>
      </c>
      <c r="Z43" s="402">
        <f t="shared" si="12"/>
        <v>0</v>
      </c>
      <c r="AA43" s="408">
        <f t="shared" si="13"/>
        <v>0</v>
      </c>
      <c r="AB43" s="409">
        <f t="shared" si="18"/>
        <v>0</v>
      </c>
      <c r="AC43" s="402">
        <f t="shared" si="14"/>
        <v>0</v>
      </c>
      <c r="AD43" s="405">
        <f t="shared" si="15"/>
        <v>0</v>
      </c>
      <c r="AE43" s="412">
        <f t="shared" si="19"/>
        <v>0</v>
      </c>
    </row>
    <row r="44" spans="1:31" x14ac:dyDescent="0.25">
      <c r="A44" s="134"/>
      <c r="B44" s="1"/>
      <c r="C44" s="1"/>
      <c r="D44" s="2"/>
      <c r="E44" s="398">
        <f t="shared" si="16"/>
        <v>0</v>
      </c>
      <c r="F44" s="5"/>
      <c r="G44" s="111"/>
      <c r="H44" s="321">
        <f>IF(F44="j",D44/Allgemeines!$B$30*$C$29,G44)</f>
        <v>0</v>
      </c>
      <c r="I44" s="411">
        <f t="shared" si="17"/>
        <v>0</v>
      </c>
      <c r="J44" s="139">
        <f>IF(AND(F44&lt;&gt;"",B44="Rückspeisung eN",Allgemeines!$B$29&lt;=2028),$J$21,0)
+IF(AND(F44&lt;&gt;"",OR(B44="EEG-nvol",B44="KWKG",B44="Sonstige-nvol"),AND(OR(C44="&lt;= 2022",C44&lt;=2022),Allgemeines!$B$29&lt;=2025)),1,0)
+IF(AND(F44&lt;&gt;"",OR(B44="EEG-nvol",B44="KWKG",B44="Sonstige-nvol"),AND(OR(C44="&lt;= 2022",C44&lt;=2022),Allgemeines!$B$29&gt;=2026)),1-(Allgemeines!$B$29-2025)/4,0)
+IF(AND(F44&lt;&gt;"",OR(B44="EEG-vol",B44="Sonstige-vol"),OR(C44="&lt;= 2017",C44&lt;=2017),C44&gt;1900),MIN(1,MAX(0,1-(Allgemeines!$B$29-2017)/3)),0)</f>
        <v>0</v>
      </c>
      <c r="K44" s="139">
        <f t="shared" si="1"/>
        <v>0</v>
      </c>
      <c r="L44" s="138"/>
      <c r="M44" s="71" t="str">
        <f t="shared" si="2"/>
        <v/>
      </c>
      <c r="N44" s="402">
        <f t="shared" si="3"/>
        <v>0</v>
      </c>
      <c r="O44" s="403">
        <f t="shared" si="4"/>
        <v>0</v>
      </c>
      <c r="P44" s="404">
        <f t="shared" si="5"/>
        <v>0</v>
      </c>
      <c r="Q44" s="405">
        <f t="shared" si="6"/>
        <v>0</v>
      </c>
      <c r="R44" s="111"/>
      <c r="S44" s="321">
        <f>IF($F44="j",$D44/Allgemeines!$B$30*W$25,R44)*$K44</f>
        <v>0</v>
      </c>
      <c r="T44" s="406">
        <f t="shared" si="7"/>
        <v>0</v>
      </c>
      <c r="U44" s="399">
        <f t="shared" si="8"/>
        <v>0</v>
      </c>
      <c r="V44" s="405">
        <f t="shared" si="9"/>
        <v>0</v>
      </c>
      <c r="W44" s="558"/>
      <c r="X44" s="662">
        <f t="shared" si="10"/>
        <v>0</v>
      </c>
      <c r="Y44" s="663">
        <f t="shared" si="11"/>
        <v>0</v>
      </c>
      <c r="Z44" s="402">
        <f t="shared" si="12"/>
        <v>0</v>
      </c>
      <c r="AA44" s="408">
        <f t="shared" si="13"/>
        <v>0</v>
      </c>
      <c r="AB44" s="409">
        <f t="shared" si="18"/>
        <v>0</v>
      </c>
      <c r="AC44" s="402">
        <f t="shared" si="14"/>
        <v>0</v>
      </c>
      <c r="AD44" s="405">
        <f t="shared" si="15"/>
        <v>0</v>
      </c>
      <c r="AE44" s="412">
        <f t="shared" si="19"/>
        <v>0</v>
      </c>
    </row>
    <row r="45" spans="1:31" x14ac:dyDescent="0.25">
      <c r="A45" s="134"/>
      <c r="B45" s="1"/>
      <c r="C45" s="1"/>
      <c r="D45" s="2"/>
      <c r="E45" s="398">
        <f t="shared" si="16"/>
        <v>0</v>
      </c>
      <c r="F45" s="5"/>
      <c r="G45" s="111"/>
      <c r="H45" s="321">
        <f>IF(F45="j",D45/Allgemeines!$B$30*$C$29,G45)</f>
        <v>0</v>
      </c>
      <c r="I45" s="411">
        <f t="shared" si="17"/>
        <v>0</v>
      </c>
      <c r="J45" s="139">
        <f>IF(AND(F45&lt;&gt;"",B45="Rückspeisung eN",Allgemeines!$B$29&lt;=2028),$J$21,0)
+IF(AND(F45&lt;&gt;"",OR(B45="EEG-nvol",B45="KWKG",B45="Sonstige-nvol"),AND(OR(C45="&lt;= 2022",C45&lt;=2022),Allgemeines!$B$29&lt;=2025)),1,0)
+IF(AND(F45&lt;&gt;"",OR(B45="EEG-nvol",B45="KWKG",B45="Sonstige-nvol"),AND(OR(C45="&lt;= 2022",C45&lt;=2022),Allgemeines!$B$29&gt;=2026)),1-(Allgemeines!$B$29-2025)/4,0)
+IF(AND(F45&lt;&gt;"",OR(B45="EEG-vol",B45="Sonstige-vol"),OR(C45="&lt;= 2017",C45&lt;=2017),C45&gt;1900),MIN(1,MAX(0,1-(Allgemeines!$B$29-2017)/3)),0)</f>
        <v>0</v>
      </c>
      <c r="K45" s="139">
        <f t="shared" si="1"/>
        <v>0</v>
      </c>
      <c r="L45" s="138"/>
      <c r="M45" s="71" t="str">
        <f t="shared" si="2"/>
        <v/>
      </c>
      <c r="N45" s="402">
        <f t="shared" si="3"/>
        <v>0</v>
      </c>
      <c r="O45" s="403">
        <f t="shared" si="4"/>
        <v>0</v>
      </c>
      <c r="P45" s="404">
        <f t="shared" si="5"/>
        <v>0</v>
      </c>
      <c r="Q45" s="405">
        <f t="shared" si="6"/>
        <v>0</v>
      </c>
      <c r="R45" s="111"/>
      <c r="S45" s="321">
        <f>IF($F45="j",$D45/Allgemeines!$B$30*W$25,R45)*$K45</f>
        <v>0</v>
      </c>
      <c r="T45" s="406">
        <f t="shared" si="7"/>
        <v>0</v>
      </c>
      <c r="U45" s="399">
        <f t="shared" si="8"/>
        <v>0</v>
      </c>
      <c r="V45" s="405">
        <f t="shared" si="9"/>
        <v>0</v>
      </c>
      <c r="W45" s="558"/>
      <c r="X45" s="662">
        <f t="shared" si="10"/>
        <v>0</v>
      </c>
      <c r="Y45" s="663">
        <f t="shared" si="11"/>
        <v>0</v>
      </c>
      <c r="Z45" s="402">
        <f t="shared" si="12"/>
        <v>0</v>
      </c>
      <c r="AA45" s="408">
        <f t="shared" si="13"/>
        <v>0</v>
      </c>
      <c r="AB45" s="409">
        <f t="shared" si="18"/>
        <v>0</v>
      </c>
      <c r="AC45" s="402">
        <f t="shared" si="14"/>
        <v>0</v>
      </c>
      <c r="AD45" s="405">
        <f t="shared" si="15"/>
        <v>0</v>
      </c>
      <c r="AE45" s="412">
        <f t="shared" si="19"/>
        <v>0</v>
      </c>
    </row>
    <row r="46" spans="1:31" x14ac:dyDescent="0.25">
      <c r="A46" s="134"/>
      <c r="B46" s="1"/>
      <c r="C46" s="1"/>
      <c r="D46" s="2"/>
      <c r="E46" s="398">
        <f t="shared" si="16"/>
        <v>0</v>
      </c>
      <c r="F46" s="5"/>
      <c r="G46" s="111"/>
      <c r="H46" s="321">
        <f>IF(F46="j",D46/Allgemeines!$B$30*$C$29,G46)</f>
        <v>0</v>
      </c>
      <c r="I46" s="411">
        <f t="shared" si="17"/>
        <v>0</v>
      </c>
      <c r="J46" s="139">
        <f>IF(AND(F46&lt;&gt;"",B46="Rückspeisung eN",Allgemeines!$B$29&lt;=2028),$J$21,0)
+IF(AND(F46&lt;&gt;"",OR(B46="EEG-nvol",B46="KWKG",B46="Sonstige-nvol"),AND(OR(C46="&lt;= 2022",C46&lt;=2022),Allgemeines!$B$29&lt;=2025)),1,0)
+IF(AND(F46&lt;&gt;"",OR(B46="EEG-nvol",B46="KWKG",B46="Sonstige-nvol"),AND(OR(C46="&lt;= 2022",C46&lt;=2022),Allgemeines!$B$29&gt;=2026)),1-(Allgemeines!$B$29-2025)/4,0)
+IF(AND(F46&lt;&gt;"",OR(B46="EEG-vol",B46="Sonstige-vol"),OR(C46="&lt;= 2017",C46&lt;=2017),C46&gt;1900),MIN(1,MAX(0,1-(Allgemeines!$B$29-2017)/3)),0)</f>
        <v>0</v>
      </c>
      <c r="K46" s="139">
        <f t="shared" si="1"/>
        <v>0</v>
      </c>
      <c r="L46" s="138"/>
      <c r="M46" s="71" t="str">
        <f t="shared" si="2"/>
        <v/>
      </c>
      <c r="N46" s="402">
        <f t="shared" si="3"/>
        <v>0</v>
      </c>
      <c r="O46" s="403">
        <f t="shared" si="4"/>
        <v>0</v>
      </c>
      <c r="P46" s="404">
        <f t="shared" si="5"/>
        <v>0</v>
      </c>
      <c r="Q46" s="405">
        <f t="shared" si="6"/>
        <v>0</v>
      </c>
      <c r="R46" s="111"/>
      <c r="S46" s="321">
        <f>IF($F46="j",$D46/Allgemeines!$B$30*W$25,R46)*$K46</f>
        <v>0</v>
      </c>
      <c r="T46" s="406">
        <f t="shared" si="7"/>
        <v>0</v>
      </c>
      <c r="U46" s="399">
        <f t="shared" si="8"/>
        <v>0</v>
      </c>
      <c r="V46" s="405">
        <f t="shared" si="9"/>
        <v>0</v>
      </c>
      <c r="W46" s="558"/>
      <c r="X46" s="662">
        <f t="shared" si="10"/>
        <v>0</v>
      </c>
      <c r="Y46" s="663">
        <f t="shared" si="11"/>
        <v>0</v>
      </c>
      <c r="Z46" s="402">
        <f t="shared" si="12"/>
        <v>0</v>
      </c>
      <c r="AA46" s="408">
        <f t="shared" si="13"/>
        <v>0</v>
      </c>
      <c r="AB46" s="409">
        <f t="shared" si="18"/>
        <v>0</v>
      </c>
      <c r="AC46" s="402">
        <f t="shared" si="14"/>
        <v>0</v>
      </c>
      <c r="AD46" s="405">
        <f t="shared" si="15"/>
        <v>0</v>
      </c>
      <c r="AE46" s="412">
        <f t="shared" si="19"/>
        <v>0</v>
      </c>
    </row>
    <row r="47" spans="1:31" x14ac:dyDescent="0.25">
      <c r="A47" s="134"/>
      <c r="B47" s="1"/>
      <c r="C47" s="1"/>
      <c r="D47" s="2"/>
      <c r="E47" s="398">
        <f t="shared" si="16"/>
        <v>0</v>
      </c>
      <c r="F47" s="5"/>
      <c r="G47" s="111"/>
      <c r="H47" s="321">
        <f>IF(F47="j",D47/Allgemeines!$B$30*$C$29,G47)</f>
        <v>0</v>
      </c>
      <c r="I47" s="411">
        <f t="shared" si="17"/>
        <v>0</v>
      </c>
      <c r="J47" s="139">
        <f>IF(AND(F47&lt;&gt;"",B47="Rückspeisung eN",Allgemeines!$B$29&lt;=2028),$J$21,0)
+IF(AND(F47&lt;&gt;"",OR(B47="EEG-nvol",B47="KWKG",B47="Sonstige-nvol"),AND(OR(C47="&lt;= 2022",C47&lt;=2022),Allgemeines!$B$29&lt;=2025)),1,0)
+IF(AND(F47&lt;&gt;"",OR(B47="EEG-nvol",B47="KWKG",B47="Sonstige-nvol"),AND(OR(C47="&lt;= 2022",C47&lt;=2022),Allgemeines!$B$29&gt;=2026)),1-(Allgemeines!$B$29-2025)/4,0)
+IF(AND(F47&lt;&gt;"",OR(B47="EEG-vol",B47="Sonstige-vol"),OR(C47="&lt;= 2017",C47&lt;=2017),C47&gt;1900),MIN(1,MAX(0,1-(Allgemeines!$B$29-2017)/3)),0)</f>
        <v>0</v>
      </c>
      <c r="K47" s="139">
        <f t="shared" si="1"/>
        <v>0</v>
      </c>
      <c r="L47" s="138"/>
      <c r="M47" s="71" t="str">
        <f t="shared" si="2"/>
        <v/>
      </c>
      <c r="N47" s="402">
        <f t="shared" si="3"/>
        <v>0</v>
      </c>
      <c r="O47" s="403">
        <f t="shared" si="4"/>
        <v>0</v>
      </c>
      <c r="P47" s="404">
        <f t="shared" si="5"/>
        <v>0</v>
      </c>
      <c r="Q47" s="405">
        <f t="shared" si="6"/>
        <v>0</v>
      </c>
      <c r="R47" s="111"/>
      <c r="S47" s="321">
        <f>IF($F47="j",$D47/Allgemeines!$B$30*W$25,R47)*$K47</f>
        <v>0</v>
      </c>
      <c r="T47" s="406">
        <f t="shared" si="7"/>
        <v>0</v>
      </c>
      <c r="U47" s="399">
        <f t="shared" si="8"/>
        <v>0</v>
      </c>
      <c r="V47" s="405">
        <f t="shared" si="9"/>
        <v>0</v>
      </c>
      <c r="W47" s="558"/>
      <c r="X47" s="662">
        <f t="shared" si="10"/>
        <v>0</v>
      </c>
      <c r="Y47" s="663">
        <f t="shared" si="11"/>
        <v>0</v>
      </c>
      <c r="Z47" s="402">
        <f t="shared" si="12"/>
        <v>0</v>
      </c>
      <c r="AA47" s="408">
        <f t="shared" si="13"/>
        <v>0</v>
      </c>
      <c r="AB47" s="409">
        <f t="shared" si="18"/>
        <v>0</v>
      </c>
      <c r="AC47" s="402">
        <f t="shared" si="14"/>
        <v>0</v>
      </c>
      <c r="AD47" s="405">
        <f t="shared" si="15"/>
        <v>0</v>
      </c>
      <c r="AE47" s="412">
        <f t="shared" si="19"/>
        <v>0</v>
      </c>
    </row>
    <row r="48" spans="1:31" x14ac:dyDescent="0.25">
      <c r="A48" s="134"/>
      <c r="B48" s="1"/>
      <c r="C48" s="1"/>
      <c r="D48" s="2"/>
      <c r="E48" s="398">
        <f t="shared" si="16"/>
        <v>0</v>
      </c>
      <c r="F48" s="5"/>
      <c r="G48" s="111"/>
      <c r="H48" s="321">
        <f>IF(F48="j",D48/Allgemeines!$B$30*$C$29,G48)</f>
        <v>0</v>
      </c>
      <c r="I48" s="411">
        <f t="shared" si="17"/>
        <v>0</v>
      </c>
      <c r="J48" s="139">
        <f>IF(AND(F48&lt;&gt;"",B48="Rückspeisung eN",Allgemeines!$B$29&lt;=2028),$J$21,0)
+IF(AND(F48&lt;&gt;"",OR(B48="EEG-nvol",B48="KWKG",B48="Sonstige-nvol"),AND(OR(C48="&lt;= 2022",C48&lt;=2022),Allgemeines!$B$29&lt;=2025)),1,0)
+IF(AND(F48&lt;&gt;"",OR(B48="EEG-nvol",B48="KWKG",B48="Sonstige-nvol"),AND(OR(C48="&lt;= 2022",C48&lt;=2022),Allgemeines!$B$29&gt;=2026)),1-(Allgemeines!$B$29-2025)/4,0)
+IF(AND(F48&lt;&gt;"",OR(B48="EEG-vol",B48="Sonstige-vol"),OR(C48="&lt;= 2017",C48&lt;=2017),C48&gt;1900),MIN(1,MAX(0,1-(Allgemeines!$B$29-2017)/3)),0)</f>
        <v>0</v>
      </c>
      <c r="K48" s="139">
        <f t="shared" si="1"/>
        <v>0</v>
      </c>
      <c r="L48" s="138"/>
      <c r="M48" s="71" t="str">
        <f t="shared" si="2"/>
        <v/>
      </c>
      <c r="N48" s="402">
        <f t="shared" si="3"/>
        <v>0</v>
      </c>
      <c r="O48" s="403">
        <f t="shared" si="4"/>
        <v>0</v>
      </c>
      <c r="P48" s="404">
        <f t="shared" si="5"/>
        <v>0</v>
      </c>
      <c r="Q48" s="405">
        <f t="shared" si="6"/>
        <v>0</v>
      </c>
      <c r="R48" s="111"/>
      <c r="S48" s="321">
        <f>IF($F48="j",$D48/Allgemeines!$B$30*W$25,R48)*$K48</f>
        <v>0</v>
      </c>
      <c r="T48" s="406">
        <f t="shared" si="7"/>
        <v>0</v>
      </c>
      <c r="U48" s="399">
        <f t="shared" si="8"/>
        <v>0</v>
      </c>
      <c r="V48" s="405">
        <f t="shared" si="9"/>
        <v>0</v>
      </c>
      <c r="W48" s="558"/>
      <c r="X48" s="662">
        <f t="shared" si="10"/>
        <v>0</v>
      </c>
      <c r="Y48" s="663">
        <f t="shared" si="11"/>
        <v>0</v>
      </c>
      <c r="Z48" s="402">
        <f t="shared" si="12"/>
        <v>0</v>
      </c>
      <c r="AA48" s="408">
        <f t="shared" si="13"/>
        <v>0</v>
      </c>
      <c r="AB48" s="409">
        <f t="shared" si="18"/>
        <v>0</v>
      </c>
      <c r="AC48" s="402">
        <f t="shared" si="14"/>
        <v>0</v>
      </c>
      <c r="AD48" s="405">
        <f t="shared" si="15"/>
        <v>0</v>
      </c>
      <c r="AE48" s="412">
        <f t="shared" si="19"/>
        <v>0</v>
      </c>
    </row>
    <row r="49" spans="1:31" x14ac:dyDescent="0.25">
      <c r="A49" s="151"/>
      <c r="B49" s="1"/>
      <c r="C49" s="1"/>
      <c r="D49" s="2"/>
      <c r="E49" s="398">
        <f t="shared" si="16"/>
        <v>0</v>
      </c>
      <c r="F49" s="5"/>
      <c r="G49" s="111"/>
      <c r="H49" s="321">
        <f>IF(F49="j",D49/Allgemeines!$B$30*$C$29,G49)</f>
        <v>0</v>
      </c>
      <c r="I49" s="411">
        <f t="shared" si="17"/>
        <v>0</v>
      </c>
      <c r="J49" s="140">
        <f>IF(AND(F49&lt;&gt;"",B49="Rückspeisung eN",Allgemeines!$B$29&lt;=2028),$J$21,0)
+IF(AND(F49&lt;&gt;"",OR(B49="EEG-nvol",B49="KWKG",B49="Sonstige-nvol"),AND(OR(C49="&lt;= 2022",C49&lt;=2022),Allgemeines!$B$29&lt;=2025)),1,0)
+IF(AND(F49&lt;&gt;"",OR(B49="EEG-nvol",B49="KWKG",B49="Sonstige-nvol"),AND(OR(C49="&lt;= 2022",C49&lt;=2022),Allgemeines!$B$29&gt;=2026)),1-(Allgemeines!$B$29-2025)/4,0)
+IF(AND(F49&lt;&gt;"",OR(B49="EEG-vol",B49="Sonstige-vol"),OR(C49="&lt;= 2017",C49&lt;=2017),C49&gt;1900),MIN(1,MAX(0,1-(Allgemeines!$B$29-2017)/3)),0)</f>
        <v>0</v>
      </c>
      <c r="K49" s="140">
        <f t="shared" si="1"/>
        <v>0</v>
      </c>
      <c r="L49" s="138"/>
      <c r="M49" s="413" t="str">
        <f t="shared" si="2"/>
        <v/>
      </c>
      <c r="N49" s="402">
        <f t="shared" si="3"/>
        <v>0</v>
      </c>
      <c r="O49" s="403">
        <f t="shared" si="4"/>
        <v>0</v>
      </c>
      <c r="P49" s="404">
        <f t="shared" si="5"/>
        <v>0</v>
      </c>
      <c r="Q49" s="405">
        <f t="shared" si="6"/>
        <v>0</v>
      </c>
      <c r="R49" s="111"/>
      <c r="S49" s="321">
        <f>IF($F49="j",$D49/Allgemeines!$B$30*W$25,R49)*$K49</f>
        <v>0</v>
      </c>
      <c r="T49" s="406">
        <f t="shared" si="7"/>
        <v>0</v>
      </c>
      <c r="U49" s="399">
        <f t="shared" si="8"/>
        <v>0</v>
      </c>
      <c r="V49" s="405">
        <f t="shared" si="9"/>
        <v>0</v>
      </c>
      <c r="W49" s="558"/>
      <c r="X49" s="662">
        <f t="shared" si="10"/>
        <v>0</v>
      </c>
      <c r="Y49" s="663">
        <f t="shared" si="11"/>
        <v>0</v>
      </c>
      <c r="Z49" s="402">
        <f t="shared" si="12"/>
        <v>0</v>
      </c>
      <c r="AA49" s="408">
        <f t="shared" si="13"/>
        <v>0</v>
      </c>
      <c r="AB49" s="409">
        <f t="shared" si="18"/>
        <v>0</v>
      </c>
      <c r="AC49" s="402">
        <f t="shared" si="14"/>
        <v>0</v>
      </c>
      <c r="AD49" s="405">
        <f t="shared" si="15"/>
        <v>0</v>
      </c>
      <c r="AE49" s="412">
        <f t="shared" si="19"/>
        <v>0</v>
      </c>
    </row>
    <row r="50" spans="1:31" ht="15.75" thickBot="1" x14ac:dyDescent="0.3">
      <c r="A50" s="176"/>
      <c r="B50" s="66"/>
      <c r="C50" s="66"/>
      <c r="D50" s="66"/>
      <c r="E50" s="414"/>
      <c r="F50" s="72"/>
      <c r="G50" s="321"/>
      <c r="H50" s="321"/>
      <c r="I50" s="415"/>
      <c r="J50" s="415"/>
      <c r="K50" s="415"/>
      <c r="L50" s="415"/>
      <c r="M50" s="416"/>
      <c r="N50" s="70"/>
      <c r="O50" s="417"/>
      <c r="P50" s="417"/>
      <c r="Q50" s="417"/>
      <c r="R50" s="417"/>
      <c r="S50" s="417"/>
      <c r="T50" s="417"/>
      <c r="U50" s="417"/>
      <c r="V50" s="417"/>
      <c r="W50" s="417"/>
      <c r="X50" s="417"/>
      <c r="Y50" s="417"/>
      <c r="Z50" s="417"/>
      <c r="AA50" s="417"/>
      <c r="AB50" s="417"/>
      <c r="AC50" s="417"/>
      <c r="AD50" s="417"/>
    </row>
    <row r="51" spans="1:31" ht="15.75" thickBot="1" x14ac:dyDescent="0.3">
      <c r="A51" s="418" t="s">
        <v>377</v>
      </c>
      <c r="B51" s="419"/>
      <c r="C51" s="419"/>
      <c r="D51" s="419"/>
      <c r="E51" s="419"/>
      <c r="F51" s="419"/>
      <c r="G51" s="420"/>
      <c r="H51" s="420"/>
      <c r="I51" s="420"/>
      <c r="J51" s="420"/>
      <c r="K51" s="420"/>
      <c r="L51" s="420"/>
      <c r="M51" s="421"/>
      <c r="N51" s="419"/>
      <c r="O51" s="419"/>
      <c r="P51" s="419"/>
      <c r="Q51" s="419"/>
      <c r="R51" s="419"/>
      <c r="S51" s="420"/>
      <c r="T51" s="419"/>
      <c r="U51" s="420"/>
      <c r="V51" s="419"/>
      <c r="W51" s="419"/>
      <c r="X51" s="419"/>
      <c r="Y51" s="419"/>
      <c r="Z51" s="419"/>
      <c r="AA51" s="419"/>
      <c r="AB51" s="419"/>
      <c r="AC51" s="419"/>
      <c r="AD51" s="419"/>
      <c r="AE51" s="422"/>
    </row>
    <row r="52" spans="1:31" s="69" customFormat="1" ht="15" hidden="1" customHeight="1" thickBot="1" x14ac:dyDescent="0.3">
      <c r="A52" s="423" t="s">
        <v>261</v>
      </c>
      <c r="B52" s="372" t="s">
        <v>262</v>
      </c>
      <c r="C52" s="372" t="s">
        <v>263</v>
      </c>
      <c r="D52" s="372" t="s">
        <v>264</v>
      </c>
      <c r="E52" s="373" t="s">
        <v>265</v>
      </c>
      <c r="F52" s="374" t="s">
        <v>266</v>
      </c>
      <c r="G52" s="372" t="s">
        <v>409</v>
      </c>
      <c r="H52" s="375" t="s">
        <v>410</v>
      </c>
      <c r="I52" s="424" t="s">
        <v>267</v>
      </c>
      <c r="J52" s="425" t="s">
        <v>268</v>
      </c>
      <c r="K52" s="425" t="s">
        <v>269</v>
      </c>
      <c r="L52" s="425" t="s">
        <v>270</v>
      </c>
      <c r="M52" s="425" t="s">
        <v>271</v>
      </c>
      <c r="N52" s="379" t="s">
        <v>272</v>
      </c>
      <c r="O52" s="380" t="s">
        <v>273</v>
      </c>
      <c r="P52" s="381" t="s">
        <v>274</v>
      </c>
      <c r="Q52" s="382" t="s">
        <v>275</v>
      </c>
      <c r="R52" s="372" t="s">
        <v>276</v>
      </c>
      <c r="S52" s="372" t="s">
        <v>277</v>
      </c>
      <c r="T52" s="383" t="s">
        <v>278</v>
      </c>
      <c r="U52" s="712" t="s">
        <v>319</v>
      </c>
      <c r="V52" s="382" t="s">
        <v>320</v>
      </c>
      <c r="W52" s="379" t="s">
        <v>438</v>
      </c>
      <c r="X52" s="379" t="s">
        <v>327</v>
      </c>
      <c r="Y52" s="380" t="s">
        <v>339</v>
      </c>
      <c r="Z52" s="379" t="s">
        <v>340</v>
      </c>
      <c r="AA52" s="379" t="s">
        <v>341</v>
      </c>
      <c r="AB52" s="384" t="s">
        <v>342</v>
      </c>
      <c r="AC52" s="379" t="s">
        <v>343</v>
      </c>
      <c r="AD52" s="382" t="s">
        <v>344</v>
      </c>
      <c r="AE52" s="380" t="s">
        <v>345</v>
      </c>
    </row>
    <row r="53" spans="1:31" x14ac:dyDescent="0.25">
      <c r="A53" s="152"/>
      <c r="B53" s="1"/>
      <c r="C53" s="546"/>
      <c r="D53" s="2"/>
      <c r="E53" s="398">
        <f t="shared" ref="E53:E64" si="20">D53*$C$14</f>
        <v>0</v>
      </c>
      <c r="F53" s="426" t="str">
        <f t="shared" ref="F53:F64" si="21">"j"</f>
        <v>j</v>
      </c>
      <c r="G53" s="427"/>
      <c r="H53" s="321">
        <f>IF(F53="j",D53/Allgemeines!$B$30*$C$30,G53)</f>
        <v>0</v>
      </c>
      <c r="I53" s="411">
        <f t="shared" ref="I53:I62" si="22">H53*$C$31</f>
        <v>0</v>
      </c>
      <c r="J53" s="139">
        <f>IF(AND(F53&lt;&gt;"",B53="Rückspeisung eN",Allgemeines!$B$29&lt;=2028),$J$21,0)
+IF(AND(F53&lt;&gt;"",OR(B53="EEG-nvol",B53="KWKG",B53="Sonstige-nvol"),AND(OR(C53="&lt;= 2022",C53&lt;=2022),Allgemeines!$B$29&lt;=2025)),1,0)
+IF(AND(F53&lt;&gt;"",OR(B53="EEG-nvol",B53="KWKG",B53="Sonstige-nvol"),AND(OR(C53="&lt;= 2022",C53&lt;=2022),Allgemeines!$B$29&gt;=2026)),MIN(1,MAX(0,1-(Allgemeines!$B$29-2025)/4)),0)
+IF(AND(F53&lt;&gt;"",OR(B53="EEG-vol",B53="Sonstige-vol"),OR(C53="&lt;= 2017",C53&lt;=2017),C53&gt;1900),MIN(1,MAX(0,1-(Allgemeines!$B$29-2017)/3)),0)</f>
        <v>0</v>
      </c>
      <c r="K53" s="139">
        <f t="shared" ref="K53" si="23">IF(B53="Rückspeisung eN",$K$21,J53)</f>
        <v>0</v>
      </c>
      <c r="L53" s="156"/>
      <c r="M53" s="413" t="str">
        <f t="shared" ref="M53:M64" si="24">IF(MAX($AE53,$AB53)&gt;0,
IF($AE53&lt;$AB53,"R","A"),"")</f>
        <v/>
      </c>
      <c r="N53" s="407">
        <f t="shared" ref="N53:N64" si="25">IF($AE53&lt;$AB53,AC53,Z53)</f>
        <v>0</v>
      </c>
      <c r="O53" s="428"/>
      <c r="P53" s="404">
        <f t="shared" ref="P53:P62" si="26">D53*J53</f>
        <v>0</v>
      </c>
      <c r="Q53" s="405">
        <f t="shared" ref="Q53:Q64" si="27">IF($P$69&gt;0,$V$15*P53/$P$69,0)</f>
        <v>0</v>
      </c>
      <c r="R53" s="429"/>
      <c r="S53" s="399">
        <f>IF($F53="j",$D53/Allgemeines!$B$30*W$26,R53)*$K53</f>
        <v>0</v>
      </c>
      <c r="T53" s="406">
        <f t="shared" ref="T53:T64" si="28">H53*K53</f>
        <v>0</v>
      </c>
      <c r="U53" s="399">
        <f t="shared" ref="U53:U64" si="29">CHOOSE(RIGHT(U$35,1),P53,S53,T53)</f>
        <v>0</v>
      </c>
      <c r="V53" s="430"/>
      <c r="W53" s="558"/>
      <c r="X53" s="664">
        <f t="shared" ref="X53:X64" si="30">N53+Q53</f>
        <v>0</v>
      </c>
      <c r="Y53" s="673"/>
      <c r="Z53" s="407">
        <f t="shared" ref="Z53:Z64" si="31">IF(L53&lt;&gt;0,E53*M$27/100*$J53,0)</f>
        <v>0</v>
      </c>
      <c r="AA53" s="431"/>
      <c r="AB53" s="432">
        <f t="shared" ref="AB53:AB64" si="32">Z53+AA53</f>
        <v>0</v>
      </c>
      <c r="AC53" s="407">
        <f t="shared" ref="AC53:AC64" si="33">IF(L53&lt;&gt;"",E53*IFERROR(VLOOKUP(L53,$L$28:$N$32,2,FALSE),0)/100*$J53,0)</f>
        <v>0</v>
      </c>
      <c r="AD53" s="431"/>
      <c r="AE53" s="433">
        <f t="shared" ref="AE53:AE64" si="34">AC53+AD53</f>
        <v>0</v>
      </c>
    </row>
    <row r="54" spans="1:31" x14ac:dyDescent="0.25">
      <c r="A54" s="152"/>
      <c r="B54" s="1"/>
      <c r="C54" s="546"/>
      <c r="D54" s="2"/>
      <c r="E54" s="398">
        <f t="shared" si="20"/>
        <v>0</v>
      </c>
      <c r="F54" s="426" t="str">
        <f t="shared" si="21"/>
        <v>j</v>
      </c>
      <c r="G54" s="427"/>
      <c r="H54" s="321">
        <f>IF(F54="j",D54/Allgemeines!$B$30*$C$30,G54)</f>
        <v>0</v>
      </c>
      <c r="I54" s="411">
        <f t="shared" si="22"/>
        <v>0</v>
      </c>
      <c r="J54" s="139">
        <f>IF(AND(F54&lt;&gt;"",B54="Rückspeisung eN",Allgemeines!$B$29&lt;=2028),$J$21,0)
+IF(AND(F54&lt;&gt;"",OR(B54="EEG-nvol",B54="KWKG",B54="Sonstige-nvol"),AND(OR(C54="&lt;= 2022",C54&lt;=2022),Allgemeines!$B$29&lt;=2025)),1,0)
+IF(AND(F54&lt;&gt;"",OR(B54="EEG-nvol",B54="KWKG",B54="Sonstige-nvol"),AND(OR(C54="&lt;= 2022",C54&lt;=2022),Allgemeines!$B$29&gt;=2026)),MIN(1,MAX(0,1-(Allgemeines!$B$29-2025)/4)),0)
+IF(AND(F54&lt;&gt;"",OR(B54="EEG-vol",B54="Sonstige-vol"),OR(C54="&lt;= 2017",C54&lt;=2017),C54&gt;1900),MIN(1,MAX(0,1-(Allgemeines!$B$29-2017)/3)),0)</f>
        <v>0</v>
      </c>
      <c r="K54" s="140">
        <f t="shared" ref="K54:K64" si="35">IF(B54="Rückspeisung eN",$K$21,J54)</f>
        <v>0</v>
      </c>
      <c r="L54" s="156"/>
      <c r="M54" s="413" t="str">
        <f t="shared" si="24"/>
        <v/>
      </c>
      <c r="N54" s="407">
        <f t="shared" si="25"/>
        <v>0</v>
      </c>
      <c r="O54" s="428"/>
      <c r="P54" s="404">
        <f t="shared" si="26"/>
        <v>0</v>
      </c>
      <c r="Q54" s="405">
        <f t="shared" si="27"/>
        <v>0</v>
      </c>
      <c r="R54" s="429"/>
      <c r="S54" s="399">
        <f>IF($F54="j",$D54/Allgemeines!$B$30*W$26,R54)*$K54</f>
        <v>0</v>
      </c>
      <c r="T54" s="406">
        <f t="shared" si="28"/>
        <v>0</v>
      </c>
      <c r="U54" s="399">
        <f t="shared" si="29"/>
        <v>0</v>
      </c>
      <c r="V54" s="430"/>
      <c r="W54" s="558"/>
      <c r="X54" s="664">
        <f t="shared" si="30"/>
        <v>0</v>
      </c>
      <c r="Y54" s="673"/>
      <c r="Z54" s="407">
        <f t="shared" si="31"/>
        <v>0</v>
      </c>
      <c r="AA54" s="431"/>
      <c r="AB54" s="432">
        <f t="shared" si="32"/>
        <v>0</v>
      </c>
      <c r="AC54" s="407">
        <f t="shared" si="33"/>
        <v>0</v>
      </c>
      <c r="AD54" s="431"/>
      <c r="AE54" s="433">
        <f t="shared" si="34"/>
        <v>0</v>
      </c>
    </row>
    <row r="55" spans="1:31" x14ac:dyDescent="0.25">
      <c r="A55" s="152"/>
      <c r="B55" s="1"/>
      <c r="C55" s="546"/>
      <c r="D55" s="2"/>
      <c r="E55" s="398">
        <f t="shared" si="20"/>
        <v>0</v>
      </c>
      <c r="F55" s="426" t="str">
        <f t="shared" si="21"/>
        <v>j</v>
      </c>
      <c r="G55" s="427"/>
      <c r="H55" s="321">
        <f>IF(F55="j",D55/Allgemeines!$B$30*$C$30,G55)</f>
        <v>0</v>
      </c>
      <c r="I55" s="411">
        <f t="shared" si="22"/>
        <v>0</v>
      </c>
      <c r="J55" s="139">
        <f>IF(AND(F55&lt;&gt;"",B55="Rückspeisung eN",Allgemeines!$B$29&lt;=2028),$J$21,0)
+IF(AND(F55&lt;&gt;"",OR(B55="EEG-nvol",B55="KWKG",B55="Sonstige-nvol"),AND(OR(C55="&lt;= 2022",C55&lt;=2022),Allgemeines!$B$29&lt;=2025)),1,0)
+IF(AND(F55&lt;&gt;"",OR(B55="EEG-nvol",B55="KWKG",B55="Sonstige-nvol"),AND(OR(C55="&lt;= 2022",C55&lt;=2022),Allgemeines!$B$29&gt;=2026)),MIN(1,MAX(0,1-(Allgemeines!$B$29-2025)/4)),0)
+IF(AND(F55&lt;&gt;"",OR(B55="EEG-vol",B55="Sonstige-vol"),OR(C55="&lt;= 2017",C55&lt;=2017),C55&gt;1900),MIN(1,MAX(0,1-(Allgemeines!$B$29-2017)/3)),0)</f>
        <v>0</v>
      </c>
      <c r="K55" s="140">
        <f t="shared" si="35"/>
        <v>0</v>
      </c>
      <c r="L55" s="156"/>
      <c r="M55" s="413" t="str">
        <f t="shared" si="24"/>
        <v/>
      </c>
      <c r="N55" s="407">
        <f t="shared" si="25"/>
        <v>0</v>
      </c>
      <c r="O55" s="428"/>
      <c r="P55" s="404">
        <f t="shared" si="26"/>
        <v>0</v>
      </c>
      <c r="Q55" s="405">
        <f t="shared" si="27"/>
        <v>0</v>
      </c>
      <c r="R55" s="429"/>
      <c r="S55" s="399">
        <f>IF($F55="j",$D55/Allgemeines!$B$30*W$26,R55)*$K55</f>
        <v>0</v>
      </c>
      <c r="T55" s="406">
        <f t="shared" si="28"/>
        <v>0</v>
      </c>
      <c r="U55" s="399">
        <f t="shared" si="29"/>
        <v>0</v>
      </c>
      <c r="V55" s="430"/>
      <c r="W55" s="558"/>
      <c r="X55" s="664">
        <f t="shared" si="30"/>
        <v>0</v>
      </c>
      <c r="Y55" s="673"/>
      <c r="Z55" s="407">
        <f t="shared" si="31"/>
        <v>0</v>
      </c>
      <c r="AA55" s="431"/>
      <c r="AB55" s="432">
        <f t="shared" si="32"/>
        <v>0</v>
      </c>
      <c r="AC55" s="407">
        <f t="shared" si="33"/>
        <v>0</v>
      </c>
      <c r="AD55" s="431"/>
      <c r="AE55" s="433">
        <f t="shared" si="34"/>
        <v>0</v>
      </c>
    </row>
    <row r="56" spans="1:31" x14ac:dyDescent="0.25">
      <c r="A56" s="152"/>
      <c r="B56" s="1"/>
      <c r="C56" s="546"/>
      <c r="D56" s="2"/>
      <c r="E56" s="398">
        <f t="shared" si="20"/>
        <v>0</v>
      </c>
      <c r="F56" s="426" t="str">
        <f t="shared" si="21"/>
        <v>j</v>
      </c>
      <c r="G56" s="427"/>
      <c r="H56" s="321">
        <f>IF(F56="j",D56/Allgemeines!$B$30*$C$30,G56)</f>
        <v>0</v>
      </c>
      <c r="I56" s="411">
        <f t="shared" si="22"/>
        <v>0</v>
      </c>
      <c r="J56" s="139">
        <f>IF(AND(F56&lt;&gt;"",B56="Rückspeisung eN",Allgemeines!$B$29&lt;=2028),$J$21,0)
+IF(AND(F56&lt;&gt;"",OR(B56="EEG-nvol",B56="KWKG",B56="Sonstige-nvol"),AND(OR(C56="&lt;= 2022",C56&lt;=2022),Allgemeines!$B$29&lt;=2025)),1,0)
+IF(AND(F56&lt;&gt;"",OR(B56="EEG-nvol",B56="KWKG",B56="Sonstige-nvol"),AND(OR(C56="&lt;= 2022",C56&lt;=2022),Allgemeines!$B$29&gt;=2026)),MIN(1,MAX(0,1-(Allgemeines!$B$29-2025)/4)),0)
+IF(AND(F56&lt;&gt;"",OR(B56="EEG-vol",B56="Sonstige-vol"),OR(C56="&lt;= 2017",C56&lt;=2017),C56&gt;1900),MIN(1,MAX(0,1-(Allgemeines!$B$29-2017)/3)),0)</f>
        <v>0</v>
      </c>
      <c r="K56" s="140">
        <f t="shared" si="35"/>
        <v>0</v>
      </c>
      <c r="L56" s="156"/>
      <c r="M56" s="413" t="str">
        <f t="shared" si="24"/>
        <v/>
      </c>
      <c r="N56" s="407">
        <f t="shared" si="25"/>
        <v>0</v>
      </c>
      <c r="O56" s="428"/>
      <c r="P56" s="404">
        <f t="shared" si="26"/>
        <v>0</v>
      </c>
      <c r="Q56" s="405">
        <f t="shared" si="27"/>
        <v>0</v>
      </c>
      <c r="R56" s="429"/>
      <c r="S56" s="399">
        <f>IF($F56="j",$D56/Allgemeines!$B$30*W$26,R56)*$K56</f>
        <v>0</v>
      </c>
      <c r="T56" s="406">
        <f t="shared" si="28"/>
        <v>0</v>
      </c>
      <c r="U56" s="399">
        <f t="shared" si="29"/>
        <v>0</v>
      </c>
      <c r="V56" s="430"/>
      <c r="W56" s="558"/>
      <c r="X56" s="664">
        <f t="shared" si="30"/>
        <v>0</v>
      </c>
      <c r="Y56" s="673"/>
      <c r="Z56" s="407">
        <f t="shared" si="31"/>
        <v>0</v>
      </c>
      <c r="AA56" s="431"/>
      <c r="AB56" s="432">
        <f t="shared" si="32"/>
        <v>0</v>
      </c>
      <c r="AC56" s="407">
        <f t="shared" si="33"/>
        <v>0</v>
      </c>
      <c r="AD56" s="431"/>
      <c r="AE56" s="433">
        <f t="shared" si="34"/>
        <v>0</v>
      </c>
    </row>
    <row r="57" spans="1:31" x14ac:dyDescent="0.25">
      <c r="A57" s="152"/>
      <c r="B57" s="1"/>
      <c r="C57" s="546"/>
      <c r="D57" s="2"/>
      <c r="E57" s="398">
        <f t="shared" si="20"/>
        <v>0</v>
      </c>
      <c r="F57" s="426" t="str">
        <f t="shared" si="21"/>
        <v>j</v>
      </c>
      <c r="G57" s="427"/>
      <c r="H57" s="321">
        <f>IF(F57="j",D57/Allgemeines!$B$30*$C$30,G57)</f>
        <v>0</v>
      </c>
      <c r="I57" s="411">
        <f t="shared" si="22"/>
        <v>0</v>
      </c>
      <c r="J57" s="139">
        <f>IF(AND(F57&lt;&gt;"",B57="Rückspeisung eN",Allgemeines!$B$29&lt;=2028),$J$21,0)
+IF(AND(F57&lt;&gt;"",OR(B57="EEG-nvol",B57="KWKG",B57="Sonstige-nvol"),AND(OR(C57="&lt;= 2022",C57&lt;=2022),Allgemeines!$B$29&lt;=2025)),1,0)
+IF(AND(F57&lt;&gt;"",OR(B57="EEG-nvol",B57="KWKG",B57="Sonstige-nvol"),AND(OR(C57="&lt;= 2022",C57&lt;=2022),Allgemeines!$B$29&gt;=2026)),MIN(1,MAX(0,1-(Allgemeines!$B$29-2025)/4)),0)
+IF(AND(F57&lt;&gt;"",OR(B57="EEG-vol",B57="Sonstige-vol"),OR(C57="&lt;= 2017",C57&lt;=2017),C57&gt;1900),MIN(1,MAX(0,1-(Allgemeines!$B$29-2017)/3)),0)</f>
        <v>0</v>
      </c>
      <c r="K57" s="140">
        <f t="shared" si="35"/>
        <v>0</v>
      </c>
      <c r="L57" s="156"/>
      <c r="M57" s="413" t="str">
        <f t="shared" si="24"/>
        <v/>
      </c>
      <c r="N57" s="407">
        <f t="shared" si="25"/>
        <v>0</v>
      </c>
      <c r="O57" s="428"/>
      <c r="P57" s="404">
        <f t="shared" si="26"/>
        <v>0</v>
      </c>
      <c r="Q57" s="405">
        <f t="shared" si="27"/>
        <v>0</v>
      </c>
      <c r="R57" s="429"/>
      <c r="S57" s="399">
        <f>IF($F57="j",$D57/Allgemeines!$B$30*W$26,R57)*$K57</f>
        <v>0</v>
      </c>
      <c r="T57" s="406">
        <f t="shared" si="28"/>
        <v>0</v>
      </c>
      <c r="U57" s="399">
        <f t="shared" si="29"/>
        <v>0</v>
      </c>
      <c r="V57" s="430"/>
      <c r="W57" s="558"/>
      <c r="X57" s="664">
        <f t="shared" si="30"/>
        <v>0</v>
      </c>
      <c r="Y57" s="673"/>
      <c r="Z57" s="407">
        <f t="shared" si="31"/>
        <v>0</v>
      </c>
      <c r="AA57" s="431"/>
      <c r="AB57" s="432">
        <f t="shared" si="32"/>
        <v>0</v>
      </c>
      <c r="AC57" s="407">
        <f t="shared" si="33"/>
        <v>0</v>
      </c>
      <c r="AD57" s="431"/>
      <c r="AE57" s="433">
        <f t="shared" si="34"/>
        <v>0</v>
      </c>
    </row>
    <row r="58" spans="1:31" x14ac:dyDescent="0.25">
      <c r="A58" s="152"/>
      <c r="B58" s="1"/>
      <c r="C58" s="546"/>
      <c r="D58" s="2"/>
      <c r="E58" s="398">
        <f t="shared" si="20"/>
        <v>0</v>
      </c>
      <c r="F58" s="426" t="str">
        <f t="shared" si="21"/>
        <v>j</v>
      </c>
      <c r="G58" s="427"/>
      <c r="H58" s="321">
        <f>IF(F58="j",D58/Allgemeines!$B$30*$C$30,G58)</f>
        <v>0</v>
      </c>
      <c r="I58" s="411">
        <f t="shared" si="22"/>
        <v>0</v>
      </c>
      <c r="J58" s="139">
        <f>IF(AND(F58&lt;&gt;"",B58="Rückspeisung eN",Allgemeines!$B$29&lt;=2028),$J$21,0)
+IF(AND(F58&lt;&gt;"",OR(B58="EEG-nvol",B58="KWKG",B58="Sonstige-nvol"),AND(OR(C58="&lt;= 2022",C58&lt;=2022),Allgemeines!$B$29&lt;=2025)),1,0)
+IF(AND(F58&lt;&gt;"",OR(B58="EEG-nvol",B58="KWKG",B58="Sonstige-nvol"),AND(OR(C58="&lt;= 2022",C58&lt;=2022),Allgemeines!$B$29&gt;=2026)),MIN(1,MAX(0,1-(Allgemeines!$B$29-2025)/4)),0)
+IF(AND(F58&lt;&gt;"",OR(B58="EEG-vol",B58="Sonstige-vol"),OR(C58="&lt;= 2017",C58&lt;=2017),C58&gt;1900),MIN(1,MAX(0,1-(Allgemeines!$B$29-2017)/3)),0)</f>
        <v>0</v>
      </c>
      <c r="K58" s="140">
        <f t="shared" si="35"/>
        <v>0</v>
      </c>
      <c r="L58" s="156"/>
      <c r="M58" s="413" t="str">
        <f t="shared" si="24"/>
        <v/>
      </c>
      <c r="N58" s="407">
        <f t="shared" si="25"/>
        <v>0</v>
      </c>
      <c r="O58" s="428"/>
      <c r="P58" s="404">
        <f t="shared" si="26"/>
        <v>0</v>
      </c>
      <c r="Q58" s="405">
        <f t="shared" si="27"/>
        <v>0</v>
      </c>
      <c r="R58" s="429"/>
      <c r="S58" s="399">
        <f>IF($F58="j",$D58/Allgemeines!$B$30*W$26,R58)*$K58</f>
        <v>0</v>
      </c>
      <c r="T58" s="406">
        <f t="shared" si="28"/>
        <v>0</v>
      </c>
      <c r="U58" s="399">
        <f t="shared" si="29"/>
        <v>0</v>
      </c>
      <c r="V58" s="430"/>
      <c r="W58" s="558"/>
      <c r="X58" s="664">
        <f t="shared" si="30"/>
        <v>0</v>
      </c>
      <c r="Y58" s="673"/>
      <c r="Z58" s="407">
        <f t="shared" si="31"/>
        <v>0</v>
      </c>
      <c r="AA58" s="431"/>
      <c r="AB58" s="432">
        <f t="shared" si="32"/>
        <v>0</v>
      </c>
      <c r="AC58" s="407">
        <f t="shared" si="33"/>
        <v>0</v>
      </c>
      <c r="AD58" s="431"/>
      <c r="AE58" s="433">
        <f t="shared" si="34"/>
        <v>0</v>
      </c>
    </row>
    <row r="59" spans="1:31" x14ac:dyDescent="0.25">
      <c r="A59" s="152"/>
      <c r="B59" s="1"/>
      <c r="C59" s="546"/>
      <c r="D59" s="2"/>
      <c r="E59" s="398">
        <f t="shared" si="20"/>
        <v>0</v>
      </c>
      <c r="F59" s="426" t="str">
        <f t="shared" si="21"/>
        <v>j</v>
      </c>
      <c r="G59" s="427"/>
      <c r="H59" s="321">
        <f>IF(F59="j",D59/Allgemeines!$B$30*$C$30,G59)</f>
        <v>0</v>
      </c>
      <c r="I59" s="411">
        <f t="shared" si="22"/>
        <v>0</v>
      </c>
      <c r="J59" s="139">
        <f>IF(AND(F59&lt;&gt;"",B59="Rückspeisung eN",Allgemeines!$B$29&lt;=2028),$J$21,0)
+IF(AND(F59&lt;&gt;"",OR(B59="EEG-nvol",B59="KWKG",B59="Sonstige-nvol"),AND(OR(C59="&lt;= 2022",C59&lt;=2022),Allgemeines!$B$29&lt;=2025)),1,0)
+IF(AND(F59&lt;&gt;"",OR(B59="EEG-nvol",B59="KWKG",B59="Sonstige-nvol"),AND(OR(C59="&lt;= 2022",C59&lt;=2022),Allgemeines!$B$29&gt;=2026)),MIN(1,MAX(0,1-(Allgemeines!$B$29-2025)/4)),0)
+IF(AND(F59&lt;&gt;"",OR(B59="EEG-vol",B59="Sonstige-vol"),OR(C59="&lt;= 2017",C59&lt;=2017),C59&gt;1900),MIN(1,MAX(0,1-(Allgemeines!$B$29-2017)/3)),0)</f>
        <v>0</v>
      </c>
      <c r="K59" s="140">
        <f t="shared" si="35"/>
        <v>0</v>
      </c>
      <c r="L59" s="156"/>
      <c r="M59" s="413" t="str">
        <f t="shared" si="24"/>
        <v/>
      </c>
      <c r="N59" s="407">
        <f t="shared" si="25"/>
        <v>0</v>
      </c>
      <c r="O59" s="428"/>
      <c r="P59" s="404">
        <f t="shared" si="26"/>
        <v>0</v>
      </c>
      <c r="Q59" s="405">
        <f t="shared" si="27"/>
        <v>0</v>
      </c>
      <c r="R59" s="429"/>
      <c r="S59" s="399">
        <f>IF($F59="j",$D59/Allgemeines!$B$30*W$26,R59)*$K59</f>
        <v>0</v>
      </c>
      <c r="T59" s="406">
        <f t="shared" si="28"/>
        <v>0</v>
      </c>
      <c r="U59" s="399">
        <f t="shared" si="29"/>
        <v>0</v>
      </c>
      <c r="V59" s="430"/>
      <c r="W59" s="558"/>
      <c r="X59" s="664">
        <f t="shared" si="30"/>
        <v>0</v>
      </c>
      <c r="Y59" s="673"/>
      <c r="Z59" s="407">
        <f t="shared" si="31"/>
        <v>0</v>
      </c>
      <c r="AA59" s="431"/>
      <c r="AB59" s="432">
        <f t="shared" si="32"/>
        <v>0</v>
      </c>
      <c r="AC59" s="407">
        <f t="shared" si="33"/>
        <v>0</v>
      </c>
      <c r="AD59" s="431"/>
      <c r="AE59" s="433">
        <f t="shared" si="34"/>
        <v>0</v>
      </c>
    </row>
    <row r="60" spans="1:31" x14ac:dyDescent="0.25">
      <c r="A60" s="152"/>
      <c r="B60" s="1"/>
      <c r="C60" s="546"/>
      <c r="D60" s="2"/>
      <c r="E60" s="398">
        <f t="shared" si="20"/>
        <v>0</v>
      </c>
      <c r="F60" s="426" t="str">
        <f t="shared" si="21"/>
        <v>j</v>
      </c>
      <c r="G60" s="427"/>
      <c r="H60" s="321">
        <f>IF(F60="j",D60/Allgemeines!$B$30*$C$30,G60)</f>
        <v>0</v>
      </c>
      <c r="I60" s="411">
        <f t="shared" si="22"/>
        <v>0</v>
      </c>
      <c r="J60" s="139">
        <f>IF(AND(F60&lt;&gt;"",B60="Rückspeisung eN",Allgemeines!$B$29&lt;=2028),$J$21,0)
+IF(AND(F60&lt;&gt;"",OR(B60="EEG-nvol",B60="KWKG",B60="Sonstige-nvol"),AND(OR(C60="&lt;= 2022",C60&lt;=2022),Allgemeines!$B$29&lt;=2025)),1,0)
+IF(AND(F60&lt;&gt;"",OR(B60="EEG-nvol",B60="KWKG",B60="Sonstige-nvol"),AND(OR(C60="&lt;= 2022",C60&lt;=2022),Allgemeines!$B$29&gt;=2026)),MIN(1,MAX(0,1-(Allgemeines!$B$29-2025)/4)),0)
+IF(AND(F60&lt;&gt;"",OR(B60="EEG-vol",B60="Sonstige-vol"),OR(C60="&lt;= 2017",C60&lt;=2017),C60&gt;1900),MIN(1,MAX(0,1-(Allgemeines!$B$29-2017)/3)),0)</f>
        <v>0</v>
      </c>
      <c r="K60" s="140">
        <f t="shared" si="35"/>
        <v>0</v>
      </c>
      <c r="L60" s="156"/>
      <c r="M60" s="413" t="str">
        <f t="shared" si="24"/>
        <v/>
      </c>
      <c r="N60" s="407">
        <f t="shared" si="25"/>
        <v>0</v>
      </c>
      <c r="O60" s="428"/>
      <c r="P60" s="404">
        <f t="shared" si="26"/>
        <v>0</v>
      </c>
      <c r="Q60" s="405">
        <f t="shared" si="27"/>
        <v>0</v>
      </c>
      <c r="R60" s="429"/>
      <c r="S60" s="399">
        <f>IF($F60="j",$D60/Allgemeines!$B$30*W$26,R60)*$K60</f>
        <v>0</v>
      </c>
      <c r="T60" s="406">
        <f t="shared" si="28"/>
        <v>0</v>
      </c>
      <c r="U60" s="399">
        <f t="shared" si="29"/>
        <v>0</v>
      </c>
      <c r="V60" s="430"/>
      <c r="W60" s="558"/>
      <c r="X60" s="664">
        <f t="shared" si="30"/>
        <v>0</v>
      </c>
      <c r="Y60" s="673"/>
      <c r="Z60" s="407">
        <f t="shared" si="31"/>
        <v>0</v>
      </c>
      <c r="AA60" s="431"/>
      <c r="AB60" s="432">
        <f t="shared" si="32"/>
        <v>0</v>
      </c>
      <c r="AC60" s="407">
        <f t="shared" si="33"/>
        <v>0</v>
      </c>
      <c r="AD60" s="431"/>
      <c r="AE60" s="433">
        <f t="shared" si="34"/>
        <v>0</v>
      </c>
    </row>
    <row r="61" spans="1:31" x14ac:dyDescent="0.25">
      <c r="A61" s="152"/>
      <c r="B61" s="1"/>
      <c r="C61" s="546"/>
      <c r="D61" s="2"/>
      <c r="E61" s="398">
        <f t="shared" si="20"/>
        <v>0</v>
      </c>
      <c r="F61" s="426" t="str">
        <f t="shared" si="21"/>
        <v>j</v>
      </c>
      <c r="G61" s="427"/>
      <c r="H61" s="321">
        <f>IF(F61="j",D61/Allgemeines!$B$30*$C$30,G61)</f>
        <v>0</v>
      </c>
      <c r="I61" s="411">
        <f t="shared" si="22"/>
        <v>0</v>
      </c>
      <c r="J61" s="139">
        <f>IF(AND(F61&lt;&gt;"",B61="Rückspeisung eN",Allgemeines!$B$29&lt;=2028),$J$21,0)
+IF(AND(F61&lt;&gt;"",OR(B61="EEG-nvol",B61="KWKG",B61="Sonstige-nvol"),AND(OR(C61="&lt;= 2022",C61&lt;=2022),Allgemeines!$B$29&lt;=2025)),1,0)
+IF(AND(F61&lt;&gt;"",OR(B61="EEG-nvol",B61="KWKG",B61="Sonstige-nvol"),AND(OR(C61="&lt;= 2022",C61&lt;=2022),Allgemeines!$B$29&gt;=2026)),MIN(1,MAX(0,1-(Allgemeines!$B$29-2025)/4)),0)
+IF(AND(F61&lt;&gt;"",OR(B61="EEG-vol",B61="Sonstige-vol"),OR(C61="&lt;= 2017",C61&lt;=2017),C61&gt;1900),MIN(1,MAX(0,1-(Allgemeines!$B$29-2017)/3)),0)</f>
        <v>0</v>
      </c>
      <c r="K61" s="140">
        <f t="shared" si="35"/>
        <v>0</v>
      </c>
      <c r="L61" s="156"/>
      <c r="M61" s="413" t="str">
        <f t="shared" si="24"/>
        <v/>
      </c>
      <c r="N61" s="407">
        <f t="shared" si="25"/>
        <v>0</v>
      </c>
      <c r="O61" s="428"/>
      <c r="P61" s="404">
        <f t="shared" si="26"/>
        <v>0</v>
      </c>
      <c r="Q61" s="405">
        <f t="shared" si="27"/>
        <v>0</v>
      </c>
      <c r="R61" s="429"/>
      <c r="S61" s="399">
        <f>IF($F61="j",$D61/Allgemeines!$B$30*W$26,R61)*$K61</f>
        <v>0</v>
      </c>
      <c r="T61" s="406">
        <f t="shared" si="28"/>
        <v>0</v>
      </c>
      <c r="U61" s="399">
        <f t="shared" si="29"/>
        <v>0</v>
      </c>
      <c r="V61" s="430"/>
      <c r="W61" s="558"/>
      <c r="X61" s="664">
        <f t="shared" si="30"/>
        <v>0</v>
      </c>
      <c r="Y61" s="673"/>
      <c r="Z61" s="407">
        <f t="shared" si="31"/>
        <v>0</v>
      </c>
      <c r="AA61" s="431"/>
      <c r="AB61" s="432">
        <f t="shared" si="32"/>
        <v>0</v>
      </c>
      <c r="AC61" s="407">
        <f t="shared" si="33"/>
        <v>0</v>
      </c>
      <c r="AD61" s="431"/>
      <c r="AE61" s="433">
        <f t="shared" si="34"/>
        <v>0</v>
      </c>
    </row>
    <row r="62" spans="1:31" x14ac:dyDescent="0.25">
      <c r="A62" s="152"/>
      <c r="B62" s="1"/>
      <c r="C62" s="546"/>
      <c r="D62" s="2"/>
      <c r="E62" s="398">
        <f t="shared" si="20"/>
        <v>0</v>
      </c>
      <c r="F62" s="426" t="str">
        <f t="shared" si="21"/>
        <v>j</v>
      </c>
      <c r="G62" s="427"/>
      <c r="H62" s="321">
        <f>IF(F62="j",D62/Allgemeines!$B$30*$C$30,G62)</f>
        <v>0</v>
      </c>
      <c r="I62" s="411">
        <f t="shared" si="22"/>
        <v>0</v>
      </c>
      <c r="J62" s="139">
        <f>IF(AND(F62&lt;&gt;"",B62="Rückspeisung eN",Allgemeines!$B$29&lt;=2028),$J$21,0)
+IF(AND(F62&lt;&gt;"",OR(B62="EEG-nvol",B62="KWKG",B62="Sonstige-nvol"),AND(OR(C62="&lt;= 2022",C62&lt;=2022),Allgemeines!$B$29&lt;=2025)),1,0)
+IF(AND(F62&lt;&gt;"",OR(B62="EEG-nvol",B62="KWKG",B62="Sonstige-nvol"),AND(OR(C62="&lt;= 2022",C62&lt;=2022),Allgemeines!$B$29&gt;=2026)),MIN(1,MAX(0,1-(Allgemeines!$B$29-2025)/4)),0)
+IF(AND(F62&lt;&gt;"",OR(B62="EEG-vol",B62="Sonstige-vol"),OR(C62="&lt;= 2017",C62&lt;=2017),C62&gt;1900),MIN(1,MAX(0,1-(Allgemeines!$B$29-2017)/3)),0)</f>
        <v>0</v>
      </c>
      <c r="K62" s="140">
        <f t="shared" si="35"/>
        <v>0</v>
      </c>
      <c r="L62" s="156"/>
      <c r="M62" s="413" t="str">
        <f t="shared" si="24"/>
        <v/>
      </c>
      <c r="N62" s="407">
        <f t="shared" si="25"/>
        <v>0</v>
      </c>
      <c r="O62" s="428"/>
      <c r="P62" s="404">
        <f t="shared" si="26"/>
        <v>0</v>
      </c>
      <c r="Q62" s="405">
        <f t="shared" si="27"/>
        <v>0</v>
      </c>
      <c r="R62" s="429"/>
      <c r="S62" s="399">
        <f>IF($F62="j",$D62/Allgemeines!$B$30*W$26,R62)*$K62</f>
        <v>0</v>
      </c>
      <c r="T62" s="406">
        <f t="shared" si="28"/>
        <v>0</v>
      </c>
      <c r="U62" s="399">
        <f t="shared" si="29"/>
        <v>0</v>
      </c>
      <c r="V62" s="430"/>
      <c r="W62" s="558"/>
      <c r="X62" s="664">
        <f t="shared" si="30"/>
        <v>0</v>
      </c>
      <c r="Y62" s="673"/>
      <c r="Z62" s="407">
        <f t="shared" si="31"/>
        <v>0</v>
      </c>
      <c r="AA62" s="431"/>
      <c r="AB62" s="432">
        <f t="shared" si="32"/>
        <v>0</v>
      </c>
      <c r="AC62" s="407">
        <f t="shared" si="33"/>
        <v>0</v>
      </c>
      <c r="AD62" s="431"/>
      <c r="AE62" s="433">
        <f t="shared" si="34"/>
        <v>0</v>
      </c>
    </row>
    <row r="63" spans="1:31" x14ac:dyDescent="0.25">
      <c r="A63" s="152"/>
      <c r="B63" s="1"/>
      <c r="C63" s="546"/>
      <c r="D63" s="2"/>
      <c r="E63" s="398">
        <f t="shared" si="20"/>
        <v>0</v>
      </c>
      <c r="F63" s="69" t="str">
        <f t="shared" si="21"/>
        <v>j</v>
      </c>
      <c r="G63" s="427"/>
      <c r="H63" s="321">
        <f>IF(F63="j",D63/Allgemeines!$B$30*$C$30,G63)</f>
        <v>0</v>
      </c>
      <c r="I63" s="411">
        <f t="shared" ref="I63:I64" si="36">H63*$C$31</f>
        <v>0</v>
      </c>
      <c r="J63" s="139">
        <f>IF(AND(F63&lt;&gt;"",B63="Rückspeisung eN",Allgemeines!$B$29&lt;=2028),$J$21,0)
+IF(AND(F63&lt;&gt;"",OR(B63="EEG-nvol",B63="KWKG",B63="Sonstige-nvol"),AND(OR(C63="&lt;= 2022",C63&lt;=2022),Allgemeines!$B$29&lt;=2025)),1,0)
+IF(AND(F63&lt;&gt;"",OR(B63="EEG-nvol",B63="KWKG",B63="Sonstige-nvol"),AND(OR(C63="&lt;= 2022",C63&lt;=2022),Allgemeines!$B$29&gt;=2026)),MIN(1,MAX(0,1-(Allgemeines!$B$29-2025)/4)),0)
+IF(AND(F63&lt;&gt;"",OR(B63="EEG-vol",B63="Sonstige-vol"),OR(C63="&lt;= 2017",C63&lt;=2017),C63&gt;1900),MIN(1,MAX(0,1-(Allgemeines!$B$29-2017)/3)),0)</f>
        <v>0</v>
      </c>
      <c r="K63" s="140">
        <f t="shared" si="35"/>
        <v>0</v>
      </c>
      <c r="L63" s="156"/>
      <c r="M63" s="413" t="str">
        <f t="shared" si="24"/>
        <v/>
      </c>
      <c r="N63" s="407">
        <f t="shared" si="25"/>
        <v>0</v>
      </c>
      <c r="O63" s="434"/>
      <c r="P63" s="272">
        <f t="shared" ref="P63:P64" si="37">D63*J63</f>
        <v>0</v>
      </c>
      <c r="Q63" s="408">
        <f t="shared" si="27"/>
        <v>0</v>
      </c>
      <c r="R63" s="429"/>
      <c r="S63" s="399">
        <f>IF($F63="j",$D63/Allgemeines!$B$30*W$26,R63)*$K63</f>
        <v>0</v>
      </c>
      <c r="T63" s="406">
        <f t="shared" si="28"/>
        <v>0</v>
      </c>
      <c r="U63" s="399">
        <f t="shared" si="29"/>
        <v>0</v>
      </c>
      <c r="V63" s="429"/>
      <c r="W63" s="558"/>
      <c r="X63" s="664">
        <f t="shared" si="30"/>
        <v>0</v>
      </c>
      <c r="Y63" s="665"/>
      <c r="Z63" s="407">
        <f t="shared" si="31"/>
        <v>0</v>
      </c>
      <c r="AA63" s="434"/>
      <c r="AB63" s="432">
        <f t="shared" si="32"/>
        <v>0</v>
      </c>
      <c r="AC63" s="407">
        <f t="shared" si="33"/>
        <v>0</v>
      </c>
      <c r="AD63" s="434"/>
      <c r="AE63" s="433">
        <f t="shared" si="34"/>
        <v>0</v>
      </c>
    </row>
    <row r="64" spans="1:31" x14ac:dyDescent="0.25">
      <c r="A64" s="153"/>
      <c r="B64" s="1"/>
      <c r="C64" s="546"/>
      <c r="D64" s="2"/>
      <c r="E64" s="398">
        <f t="shared" si="20"/>
        <v>0</v>
      </c>
      <c r="F64" s="69" t="str">
        <f t="shared" si="21"/>
        <v>j</v>
      </c>
      <c r="G64" s="427"/>
      <c r="H64" s="321">
        <f>IF(F64="j",D64/Allgemeines!$B$30*$C$30,G64)</f>
        <v>0</v>
      </c>
      <c r="I64" s="411">
        <f t="shared" si="36"/>
        <v>0</v>
      </c>
      <c r="J64" s="139">
        <f>IF(AND(F64&lt;&gt;"",B64="Rückspeisung eN",Allgemeines!$B$29&lt;=2028),$J$21,0)
+IF(AND(F64&lt;&gt;"",OR(B64="EEG-nvol",B64="KWKG",B64="Sonstige-nvol"),AND(OR(C64="&lt;= 2022",C64&lt;=2022),Allgemeines!$B$29&lt;=2025)),1,0)
+IF(AND(F64&lt;&gt;"",OR(B64="EEG-nvol",B64="KWKG",B64="Sonstige-nvol"),AND(OR(C64="&lt;= 2022",C64&lt;=2022),Allgemeines!$B$29&gt;=2026)),MIN(1,MAX(0,1-(Allgemeines!$B$29-2025)/4)),0)
+IF(AND(F64&lt;&gt;"",OR(B64="EEG-vol",B64="Sonstige-vol"),OR(C64="&lt;= 2017",C64&lt;=2017),C64&gt;1900),MIN(1,MAX(0,1-(Allgemeines!$B$29-2017)/3)),0)</f>
        <v>0</v>
      </c>
      <c r="K64" s="140">
        <f t="shared" si="35"/>
        <v>0</v>
      </c>
      <c r="L64" s="156"/>
      <c r="M64" s="413" t="str">
        <f t="shared" si="24"/>
        <v/>
      </c>
      <c r="N64" s="407">
        <f t="shared" si="25"/>
        <v>0</v>
      </c>
      <c r="O64" s="434"/>
      <c r="P64" s="272">
        <f t="shared" si="37"/>
        <v>0</v>
      </c>
      <c r="Q64" s="408">
        <f t="shared" si="27"/>
        <v>0</v>
      </c>
      <c r="R64" s="429"/>
      <c r="S64" s="399">
        <f>IF($F64="j",$D64/Allgemeines!$B$30*W$26,R64)*$K64</f>
        <v>0</v>
      </c>
      <c r="T64" s="406">
        <f t="shared" si="28"/>
        <v>0</v>
      </c>
      <c r="U64" s="399">
        <f t="shared" si="29"/>
        <v>0</v>
      </c>
      <c r="V64" s="429"/>
      <c r="W64" s="558"/>
      <c r="X64" s="664">
        <f t="shared" si="30"/>
        <v>0</v>
      </c>
      <c r="Y64" s="665"/>
      <c r="Z64" s="407">
        <f t="shared" si="31"/>
        <v>0</v>
      </c>
      <c r="AA64" s="434"/>
      <c r="AB64" s="432">
        <f t="shared" si="32"/>
        <v>0</v>
      </c>
      <c r="AC64" s="407">
        <f t="shared" si="33"/>
        <v>0</v>
      </c>
      <c r="AD64" s="434"/>
      <c r="AE64" s="433">
        <f t="shared" si="34"/>
        <v>0</v>
      </c>
    </row>
    <row r="65" spans="1:31" ht="15.75" thickBot="1" x14ac:dyDescent="0.3">
      <c r="A65" s="435"/>
      <c r="D65" s="70"/>
      <c r="E65" s="280"/>
      <c r="F65" s="69"/>
      <c r="G65" s="321"/>
      <c r="H65" s="321"/>
      <c r="I65" s="321"/>
      <c r="J65" s="321"/>
      <c r="K65" s="321"/>
      <c r="L65" s="321"/>
      <c r="M65" s="321"/>
      <c r="N65" s="321"/>
      <c r="O65" s="436"/>
      <c r="P65" s="437"/>
      <c r="Q65" s="437"/>
      <c r="R65" s="437"/>
      <c r="S65" s="70"/>
      <c r="T65" s="70"/>
      <c r="U65" s="321"/>
      <c r="V65" s="70"/>
      <c r="W65" s="70"/>
      <c r="X65" s="70"/>
      <c r="Y65" s="70"/>
      <c r="Z65" s="70"/>
      <c r="AA65" s="70"/>
      <c r="AB65" s="70"/>
      <c r="AC65" s="70"/>
      <c r="AD65" s="70"/>
    </row>
    <row r="66" spans="1:31" x14ac:dyDescent="0.25">
      <c r="A66" s="73" t="s">
        <v>215</v>
      </c>
      <c r="B66" s="74"/>
      <c r="C66" s="74"/>
      <c r="D66" s="438">
        <f>SUMIF($F$38:$F$49,"n",D38:D49)</f>
        <v>0</v>
      </c>
      <c r="E66" s="439">
        <f>SUMIF($F$38:$F$49,"n",E38:E49)</f>
        <v>0</v>
      </c>
      <c r="F66" s="440" t="s">
        <v>23</v>
      </c>
      <c r="G66" s="441">
        <f>SUMIF($F$38:$F$49,"n",G38:G49)</f>
        <v>0</v>
      </c>
      <c r="H66" s="441">
        <f>SUMIF($F$38:$F$49,"n",H38:H49)</f>
        <v>0</v>
      </c>
      <c r="I66" s="441">
        <f>SUMIF($F$38:$F$49,"n",I38:I49)</f>
        <v>0</v>
      </c>
      <c r="J66" s="442"/>
      <c r="K66" s="442"/>
      <c r="L66" s="442"/>
      <c r="M66" s="442"/>
      <c r="N66" s="448">
        <f t="shared" ref="N66:V66" si="38">SUMIF($F$38:$F$49,"n",N38:N49)</f>
        <v>0</v>
      </c>
      <c r="O66" s="686">
        <f t="shared" si="38"/>
        <v>0</v>
      </c>
      <c r="P66" s="443">
        <f t="shared" si="38"/>
        <v>0</v>
      </c>
      <c r="Q66" s="684">
        <f t="shared" si="38"/>
        <v>0</v>
      </c>
      <c r="R66" s="441">
        <f t="shared" si="38"/>
        <v>0</v>
      </c>
      <c r="S66" s="444">
        <f t="shared" si="38"/>
        <v>0</v>
      </c>
      <c r="T66" s="445">
        <f t="shared" si="38"/>
        <v>0</v>
      </c>
      <c r="U66" s="444">
        <f t="shared" si="38"/>
        <v>0</v>
      </c>
      <c r="V66" s="446">
        <f t="shared" si="38"/>
        <v>0</v>
      </c>
      <c r="W66" s="556"/>
      <c r="X66" s="666">
        <f t="shared" ref="X66:AE66" si="39">SUMIF($F$38:$F$49,"n",X38:X49)</f>
        <v>0</v>
      </c>
      <c r="Y66" s="667">
        <f t="shared" si="39"/>
        <v>0</v>
      </c>
      <c r="Z66" s="448">
        <f t="shared" si="39"/>
        <v>0</v>
      </c>
      <c r="AA66" s="446">
        <f t="shared" si="39"/>
        <v>0</v>
      </c>
      <c r="AB66" s="447">
        <f t="shared" si="39"/>
        <v>0</v>
      </c>
      <c r="AC66" s="448">
        <f t="shared" si="39"/>
        <v>0</v>
      </c>
      <c r="AD66" s="446">
        <f t="shared" si="39"/>
        <v>0</v>
      </c>
      <c r="AE66" s="447">
        <f t="shared" si="39"/>
        <v>0</v>
      </c>
    </row>
    <row r="67" spans="1:31" x14ac:dyDescent="0.25">
      <c r="A67" s="76" t="s">
        <v>216</v>
      </c>
      <c r="D67" s="449">
        <f>SUMIF($F$38:$F$49,"j",D38:D49)</f>
        <v>0</v>
      </c>
      <c r="E67" s="398">
        <f>SUMIF($F$38:$F$49,"j",E38:E49)</f>
        <v>0</v>
      </c>
      <c r="F67" s="72" t="s">
        <v>1</v>
      </c>
      <c r="G67" s="321">
        <f>SUMIF($F$38:$F$49,"j",G38:G49)</f>
        <v>0</v>
      </c>
      <c r="H67" s="321">
        <f>SUMIF($F$38:$F$49,"j",H38:H49)</f>
        <v>0</v>
      </c>
      <c r="I67" s="321">
        <f>SUMIF($F$38:$F$49,"j",I38:I49)</f>
        <v>0</v>
      </c>
      <c r="J67" s="427"/>
      <c r="K67" s="427"/>
      <c r="L67" s="427"/>
      <c r="M67" s="427"/>
      <c r="N67" s="402">
        <f t="shared" ref="N67:V67" si="40">SUMIF($F$38:$F$49,"j",N38:N49)</f>
        <v>0</v>
      </c>
      <c r="O67" s="687">
        <f t="shared" si="40"/>
        <v>0</v>
      </c>
      <c r="P67" s="450">
        <f t="shared" si="40"/>
        <v>0</v>
      </c>
      <c r="Q67" s="408">
        <f t="shared" si="40"/>
        <v>0</v>
      </c>
      <c r="R67" s="321">
        <f t="shared" si="40"/>
        <v>0</v>
      </c>
      <c r="S67" s="399">
        <f t="shared" si="40"/>
        <v>0</v>
      </c>
      <c r="T67" s="349">
        <f t="shared" si="40"/>
        <v>0</v>
      </c>
      <c r="U67" s="399">
        <f t="shared" si="40"/>
        <v>0</v>
      </c>
      <c r="V67" s="405">
        <f t="shared" si="40"/>
        <v>0</v>
      </c>
      <c r="W67" s="429"/>
      <c r="X67" s="664">
        <f t="shared" ref="X67:AE67" si="41">SUMIF($F$38:$F$49,"j",X38:X49)</f>
        <v>0</v>
      </c>
      <c r="Y67" s="663">
        <f t="shared" si="41"/>
        <v>0</v>
      </c>
      <c r="Z67" s="451">
        <f t="shared" si="41"/>
        <v>0</v>
      </c>
      <c r="AA67" s="452">
        <f t="shared" si="41"/>
        <v>0</v>
      </c>
      <c r="AB67" s="403">
        <f t="shared" si="41"/>
        <v>0</v>
      </c>
      <c r="AC67" s="451">
        <f t="shared" si="41"/>
        <v>0</v>
      </c>
      <c r="AD67" s="452">
        <f t="shared" si="41"/>
        <v>0</v>
      </c>
      <c r="AE67" s="403">
        <f t="shared" si="41"/>
        <v>0</v>
      </c>
    </row>
    <row r="68" spans="1:31" x14ac:dyDescent="0.25">
      <c r="A68" s="210" t="s">
        <v>214</v>
      </c>
      <c r="B68" s="4"/>
      <c r="C68" s="4"/>
      <c r="D68" s="212">
        <f>SUM(D53:D64)</f>
        <v>0</v>
      </c>
      <c r="E68" s="453">
        <f>SUM(E53:E64)</f>
        <v>0</v>
      </c>
      <c r="F68" s="454" t="s">
        <v>1</v>
      </c>
      <c r="G68" s="455">
        <f t="shared" ref="G68" si="42">SUM(G53:G64)</f>
        <v>0</v>
      </c>
      <c r="H68" s="456">
        <f t="shared" ref="H68:I68" si="43">SUM(H53:H64)</f>
        <v>0</v>
      </c>
      <c r="I68" s="456">
        <f t="shared" si="43"/>
        <v>0</v>
      </c>
      <c r="J68" s="455"/>
      <c r="K68" s="455"/>
      <c r="L68" s="455"/>
      <c r="M68" s="455"/>
      <c r="N68" s="462">
        <f t="shared" ref="N68:O68" si="44">SUM(N53:N64)</f>
        <v>0</v>
      </c>
      <c r="O68" s="688">
        <f t="shared" si="44"/>
        <v>0</v>
      </c>
      <c r="P68" s="458">
        <f t="shared" ref="P68:Q68" si="45">SUM(P53:P64)</f>
        <v>0</v>
      </c>
      <c r="Q68" s="685">
        <f t="shared" si="45"/>
        <v>0</v>
      </c>
      <c r="R68" s="459">
        <f t="shared" ref="R68:U68" si="46">SUM(R53:R64)</f>
        <v>0</v>
      </c>
      <c r="S68" s="459">
        <f t="shared" si="46"/>
        <v>0</v>
      </c>
      <c r="T68" s="342">
        <f t="shared" si="46"/>
        <v>0</v>
      </c>
      <c r="U68" s="459">
        <f t="shared" si="46"/>
        <v>0</v>
      </c>
      <c r="V68" s="460"/>
      <c r="W68" s="460"/>
      <c r="X68" s="668">
        <f>SUM(X53:X64)</f>
        <v>0</v>
      </c>
      <c r="Y68" s="669"/>
      <c r="Z68" s="462">
        <f>SUM(Z53:Z64)</f>
        <v>0</v>
      </c>
      <c r="AA68" s="461"/>
      <c r="AB68" s="463">
        <f>SUM(AB53:AB64)</f>
        <v>0</v>
      </c>
      <c r="AC68" s="462">
        <f>SUM(AC53:AC64)</f>
        <v>0</v>
      </c>
      <c r="AD68" s="461"/>
      <c r="AE68" s="463">
        <f>SUM(AE53:AE64)</f>
        <v>0</v>
      </c>
    </row>
    <row r="69" spans="1:31" ht="15.75" thickBot="1" x14ac:dyDescent="0.3">
      <c r="A69" s="78" t="s">
        <v>3</v>
      </c>
      <c r="B69" s="464"/>
      <c r="C69" s="79"/>
      <c r="D69" s="465">
        <f>D66+D67+D68</f>
        <v>0</v>
      </c>
      <c r="E69" s="466">
        <f>E66+E67+E68</f>
        <v>0</v>
      </c>
      <c r="F69" s="467"/>
      <c r="G69" s="468"/>
      <c r="H69" s="469">
        <f>SUM(H66:H68)</f>
        <v>0</v>
      </c>
      <c r="I69" s="469">
        <f>SUM(I66:I68)</f>
        <v>0</v>
      </c>
      <c r="J69" s="468"/>
      <c r="K69" s="468"/>
      <c r="L69" s="468"/>
      <c r="M69" s="468"/>
      <c r="N69" s="683">
        <f t="shared" ref="N69:O69" si="47">SUM(N66:N68)</f>
        <v>0</v>
      </c>
      <c r="O69" s="689">
        <f t="shared" si="47"/>
        <v>0</v>
      </c>
      <c r="P69" s="470">
        <f t="shared" ref="P69:Q69" si="48">SUM(P66:P68)</f>
        <v>0</v>
      </c>
      <c r="Q69" s="683">
        <f t="shared" si="48"/>
        <v>0</v>
      </c>
      <c r="R69" s="472">
        <f t="shared" ref="R69:S69" si="49">SUM(R66:R68)</f>
        <v>0</v>
      </c>
      <c r="S69" s="472">
        <f t="shared" si="49"/>
        <v>0</v>
      </c>
      <c r="T69" s="471">
        <f t="shared" ref="T69" si="50">SUM(T66:T68)</f>
        <v>0</v>
      </c>
      <c r="U69" s="472">
        <f t="shared" ref="U69" si="51">SUM(U66:U68)</f>
        <v>0</v>
      </c>
      <c r="V69" s="475">
        <f t="shared" ref="V69" si="52">SUM(V66:V68)</f>
        <v>0</v>
      </c>
      <c r="W69" s="557"/>
      <c r="X69" s="670">
        <f>SUM(X66:X68)</f>
        <v>0</v>
      </c>
      <c r="Y69" s="671">
        <f>SUM(Y66:Y68)</f>
        <v>0</v>
      </c>
      <c r="Z69" s="474">
        <f t="shared" ref="Z69" si="53">SUM(Z66:Z68)</f>
        <v>0</v>
      </c>
      <c r="AA69" s="475">
        <f t="shared" ref="AA69" si="54">SUM(AA66:AA68)</f>
        <v>0</v>
      </c>
      <c r="AB69" s="473">
        <f t="shared" ref="AB69" si="55">SUM(AB66:AB68)</f>
        <v>0</v>
      </c>
      <c r="AC69" s="474">
        <f t="shared" ref="AC69" si="56">SUM(AC66:AC68)</f>
        <v>0</v>
      </c>
      <c r="AD69" s="475">
        <f t="shared" ref="AD69" si="57">SUM(AD66:AD68)</f>
        <v>0</v>
      </c>
      <c r="AE69" s="473">
        <f t="shared" ref="AE69" si="58">SUM(AE66:AE68)</f>
        <v>0</v>
      </c>
    </row>
    <row r="70" spans="1:31" ht="16.5" x14ac:dyDescent="0.3">
      <c r="D70" s="476" t="s">
        <v>27</v>
      </c>
      <c r="E70" s="477" t="s">
        <v>154</v>
      </c>
      <c r="F70" s="476"/>
      <c r="G70" s="476"/>
      <c r="H70" s="478" t="s">
        <v>180</v>
      </c>
      <c r="I70" s="477" t="s">
        <v>155</v>
      </c>
      <c r="K70" s="478"/>
      <c r="L70" s="478"/>
      <c r="M70" s="478"/>
      <c r="N70" s="478"/>
      <c r="O70" s="478"/>
      <c r="P70" s="73" t="s">
        <v>396</v>
      </c>
      <c r="Q70" s="74"/>
      <c r="R70" s="74"/>
      <c r="S70" s="74"/>
      <c r="T70" s="74"/>
      <c r="U70" s="479">
        <f>CHOOSE(RIGHT(U$35,1),D69,W23,H69)</f>
        <v>0</v>
      </c>
      <c r="Z70" s="480"/>
      <c r="AA70" s="480"/>
      <c r="AB70" s="480"/>
      <c r="AC70" s="480"/>
      <c r="AD70" s="480"/>
    </row>
    <row r="71" spans="1:31" x14ac:dyDescent="0.25">
      <c r="P71" s="76" t="s">
        <v>392</v>
      </c>
      <c r="U71" s="481">
        <f>IF(U70=0,0,U69/U70)</f>
        <v>0</v>
      </c>
    </row>
    <row r="72" spans="1:31" ht="15.75" thickBot="1" x14ac:dyDescent="0.3">
      <c r="P72" s="78" t="s">
        <v>393</v>
      </c>
      <c r="Q72" s="79"/>
      <c r="R72" s="79"/>
      <c r="S72" s="79"/>
      <c r="T72" s="79"/>
      <c r="U72" s="89">
        <f>IF(D69=0,0,P69/D69)</f>
        <v>0</v>
      </c>
    </row>
  </sheetData>
  <sheetProtection algorithmName="SHA-512" hashValue="maGHjK2d7WcMI4I5jfV3wAPtvk/QPYlZLjtPKELAFmvsDDb/txkfIFn4VBWspMSD/Y3M3A1C5tJOooMG6qAVRA==" saltValue="xNt7e44/hqZWM9Y6H7d6Zg==" spinCount="100000" sheet="1" objects="1" scenarios="1" formatCells="0"/>
  <mergeCells count="11">
    <mergeCell ref="H28:K28"/>
    <mergeCell ref="H29:K29"/>
    <mergeCell ref="H30:K30"/>
    <mergeCell ref="H31:K31"/>
    <mergeCell ref="H32:K32"/>
    <mergeCell ref="L22:L26"/>
    <mergeCell ref="V3:AD8"/>
    <mergeCell ref="M22:M25"/>
    <mergeCell ref="N22:N25"/>
    <mergeCell ref="H27:K27"/>
    <mergeCell ref="H26:K26"/>
  </mergeCells>
  <conditionalFormatting sqref="E69 C10">
    <cfRule type="expression" dxfId="579" priority="319">
      <formula>ABS($C$10-$E$69)&gt;0.01</formula>
    </cfRule>
    <cfRule type="expression" dxfId="578" priority="2378">
      <formula>ABS($C$10-$E$69)&lt;0.01</formula>
    </cfRule>
  </conditionalFormatting>
  <conditionalFormatting sqref="C14">
    <cfRule type="cellIs" dxfId="577" priority="304" operator="greaterThan">
      <formula>1.0001</formula>
    </cfRule>
  </conditionalFormatting>
  <conditionalFormatting sqref="G68 T68 J68:N68">
    <cfRule type="expression" dxfId="576" priority="307">
      <formula>G68&lt;-1</formula>
    </cfRule>
  </conditionalFormatting>
  <conditionalFormatting sqref="G68">
    <cfRule type="expression" dxfId="575" priority="335">
      <formula>AND($G$68&gt;$D$68*4,D68&gt;1)</formula>
    </cfRule>
  </conditionalFormatting>
  <conditionalFormatting sqref="D19:E19">
    <cfRule type="expression" dxfId="574" priority="285">
      <formula>$B$16="j"</formula>
    </cfRule>
  </conditionalFormatting>
  <conditionalFormatting sqref="C29:C30">
    <cfRule type="expression" dxfId="573" priority="314">
      <formula>C29&lt;-0.1</formula>
    </cfRule>
  </conditionalFormatting>
  <conditionalFormatting sqref="W23">
    <cfRule type="expression" dxfId="572" priority="281">
      <formula>$W$23&lt;-1</formula>
    </cfRule>
  </conditionalFormatting>
  <conditionalFormatting sqref="M68">
    <cfRule type="expression" dxfId="571" priority="3166">
      <formula>AND($G$68&gt;$D$68*4,E68&gt;1)</formula>
    </cfRule>
  </conditionalFormatting>
  <conditionalFormatting sqref="K68:L68">
    <cfRule type="expression" dxfId="570" priority="3178">
      <formula>AND($G$68&gt;$D$68*4,E68&gt;1)</formula>
    </cfRule>
  </conditionalFormatting>
  <conditionalFormatting sqref="J68">
    <cfRule type="expression" dxfId="569" priority="3190">
      <formula>AND($G$68&gt;$D$68*4,E68&gt;1)</formula>
    </cfRule>
  </conditionalFormatting>
  <conditionalFormatting sqref="H68">
    <cfRule type="expression" dxfId="568" priority="100">
      <formula>H68&lt;-1</formula>
    </cfRule>
  </conditionalFormatting>
  <conditionalFormatting sqref="H68">
    <cfRule type="expression" dxfId="567" priority="101">
      <formula>AND($G$68&gt;$D$68*4,E68&gt;1)</formula>
    </cfRule>
  </conditionalFormatting>
  <conditionalFormatting sqref="I68">
    <cfRule type="expression" dxfId="566" priority="97">
      <formula>I68&lt;-1</formula>
    </cfRule>
  </conditionalFormatting>
  <conditionalFormatting sqref="I68">
    <cfRule type="expression" dxfId="565" priority="98">
      <formula>AND($G$68&gt;$D$68*4,F68&gt;1)</formula>
    </cfRule>
  </conditionalFormatting>
  <conditionalFormatting sqref="W20:W22">
    <cfRule type="expression" dxfId="564" priority="3467">
      <formula>AND($W$15&gt;0,#REF!="Schlüssel 2")</formula>
    </cfRule>
  </conditionalFormatting>
  <conditionalFormatting sqref="Q72:T72 S71:T71 P71:P72">
    <cfRule type="expression" dxfId="563" priority="82">
      <formula>AND(Sperrung="j",CELL("Schutz",P71))</formula>
    </cfRule>
  </conditionalFormatting>
  <conditionalFormatting sqref="Q71:R71">
    <cfRule type="expression" dxfId="562" priority="80">
      <formula>AND(Sperrung="j",CELL("Schutz",Q71))</formula>
    </cfRule>
  </conditionalFormatting>
  <conditionalFormatting sqref="U71:U72">
    <cfRule type="expression" dxfId="561" priority="79">
      <formula>AND(Sperrung="j",CELL("Schutz",U71))</formula>
    </cfRule>
  </conditionalFormatting>
  <conditionalFormatting sqref="P25:P26">
    <cfRule type="expression" dxfId="560" priority="76">
      <formula>AND(Sperrung="j",CELL("Schutz",P25))</formula>
    </cfRule>
  </conditionalFormatting>
  <conditionalFormatting sqref="Y20">
    <cfRule type="expression" dxfId="559" priority="75">
      <formula>AND($W$15&gt;0,#REF!="Schlüssel 2")</formula>
    </cfRule>
  </conditionalFormatting>
  <conditionalFormatting sqref="I69 C20">
    <cfRule type="expression" dxfId="558" priority="67">
      <formula>ABS($C$20-$I$69)&gt;=0.01</formula>
    </cfRule>
  </conditionalFormatting>
  <conditionalFormatting sqref="H69 C26">
    <cfRule type="expression" dxfId="557" priority="66">
      <formula>ABS($C$26-$H$69)&gt;=0.01</formula>
    </cfRule>
  </conditionalFormatting>
  <conditionalFormatting sqref="W25:W26">
    <cfRule type="expression" dxfId="556" priority="56">
      <formula>W25&lt;-0.1</formula>
    </cfRule>
  </conditionalFormatting>
  <conditionalFormatting sqref="W30">
    <cfRule type="cellIs" dxfId="555" priority="52" operator="notEqual">
      <formula>0</formula>
    </cfRule>
  </conditionalFormatting>
  <conditionalFormatting sqref="W31">
    <cfRule type="expression" dxfId="554" priority="51">
      <formula>$W$30&lt;&gt;0</formula>
    </cfRule>
  </conditionalFormatting>
  <conditionalFormatting sqref="C25">
    <cfRule type="expression" dxfId="553" priority="43">
      <formula>$C$25&lt;$C$19-0.5</formula>
    </cfRule>
  </conditionalFormatting>
  <conditionalFormatting sqref="C25">
    <cfRule type="expression" dxfId="552" priority="42">
      <formula>AND(Sperrung="j",CELL("Schutz",C25))</formula>
    </cfRule>
  </conditionalFormatting>
  <conditionalFormatting sqref="V17">
    <cfRule type="expression" dxfId="551" priority="35">
      <formula>V17&gt;0</formula>
    </cfRule>
  </conditionalFormatting>
  <conditionalFormatting sqref="W17">
    <cfRule type="expression" dxfId="550" priority="34">
      <formula>ABS(IF(U69&gt;0,W15/U69*U68,W15)-$W$17)&gt;1</formula>
    </cfRule>
  </conditionalFormatting>
  <conditionalFormatting sqref="G38:G49">
    <cfRule type="expression" dxfId="549" priority="33">
      <formula>OR(AND($D38&gt;0,ISBLANK($G38)),AND($W38&gt;0,ISBLANK($G38)))</formula>
    </cfRule>
  </conditionalFormatting>
  <conditionalFormatting sqref="F38:F49">
    <cfRule type="expression" dxfId="548" priority="31">
      <formula>AND(OR(B38="EEG-vol",B38="EEG-nvol"),F38="j")</formula>
    </cfRule>
    <cfRule type="expression" dxfId="547" priority="32">
      <formula>AND(F38="",OR(D38&lt;&gt;0,G38&lt;&gt;0,W38&lt;&gt;0))</formula>
    </cfRule>
  </conditionalFormatting>
  <conditionalFormatting sqref="L38:L49">
    <cfRule type="expression" dxfId="546" priority="28">
      <formula>OR(AND($D38&gt;0,ISERROR(MATCH($L38,$L$28:$L$32,0))),AND($W38&gt;0,ISERROR(MATCH($L38,$L$28:$L$32,0))))</formula>
    </cfRule>
  </conditionalFormatting>
  <conditionalFormatting sqref="L53:L64">
    <cfRule type="expression" dxfId="545" priority="23">
      <formula>OR(AND($D53&gt;0,ISERROR(MATCH($L53,$L$28:$L$32,0))),AND($W53&gt;0,ISERROR(MATCH($L53,$L$28:$L$32,0))))</formula>
    </cfRule>
  </conditionalFormatting>
  <conditionalFormatting sqref="R38:R49">
    <cfRule type="expression" dxfId="544" priority="22">
      <formula>OR(AND($D38&gt;0,ISBLANK($G38)),AND($W38&gt;0,ISBLANK($G38)))</formula>
    </cfRule>
  </conditionalFormatting>
  <conditionalFormatting sqref="L28:L32">
    <cfRule type="duplicateValues" dxfId="543" priority="17"/>
  </conditionalFormatting>
  <conditionalFormatting sqref="C38:C49">
    <cfRule type="expression" dxfId="542" priority="10">
      <formula>AND(AND(B38&lt;&gt;0,B38&lt;&gt;"ohne vermNE"),C38=0)</formula>
    </cfRule>
  </conditionalFormatting>
  <conditionalFormatting sqref="C38:C49">
    <cfRule type="expression" dxfId="541" priority="8">
      <formula>AND(C38&lt;&gt;0,MOD(C38,1)&lt;&gt;0)</formula>
    </cfRule>
    <cfRule type="expression" dxfId="540" priority="9">
      <formula>AND(C38&lt;&gt;0,NOT(ISNUMBER(C38)))</formula>
    </cfRule>
  </conditionalFormatting>
  <dataValidations count="8">
    <dataValidation type="list" allowBlank="1" showInputMessage="1" showErrorMessage="1" sqref="B51:C52" xr:uid="{00000000-0002-0000-0500-000000000000}">
      <formula1>"EEG,KWKG,Sonstige"</formula1>
    </dataValidation>
    <dataValidation type="list" allowBlank="1" showInputMessage="1" showErrorMessage="1" sqref="C28" xr:uid="{00000000-0002-0000-0500-000001000000}">
      <formula1>"1,2"</formula1>
    </dataValidation>
    <dataValidation type="decimal" operator="greaterThanOrEqual" allowBlank="1" showInputMessage="1" showErrorMessage="1" error="Die Rückspeisevergütung muss positiv oder 0 sein._x000a_" sqref="V13:W14" xr:uid="{00000000-0002-0000-0500-000002000000}">
      <formula1>0</formula1>
    </dataValidation>
    <dataValidation type="list" allowBlank="1" showInputMessage="1" showErrorMessage="1" sqref="B16 F38:F52" xr:uid="{00000000-0002-0000-0500-000003000000}">
      <formula1>"j,n"</formula1>
    </dataValidation>
    <dataValidation type="custom" allowBlank="1" showInputMessage="1" showErrorMessage="1" error="Bitte Wert negativ eingeben!" sqref="C19 C25 W22" xr:uid="{00000000-0002-0000-0500-000004000000}">
      <formula1>C19&lt;=0</formula1>
    </dataValidation>
    <dataValidation type="list" allowBlank="1" showDropDown="1" showInputMessage="1" showErrorMessage="1" sqref="F53:F67" xr:uid="{00000000-0002-0000-0500-000005000000}">
      <formula1>"j,n"</formula1>
    </dataValidation>
    <dataValidation type="list" allowBlank="1" showInputMessage="1" showErrorMessage="1" sqref="L53:L63 L38:L49" xr:uid="{00000000-0002-0000-0500-000006000000}">
      <formula1>$L$28:$L$32</formula1>
    </dataValidation>
    <dataValidation type="whole" allowBlank="1" showInputMessage="1" showErrorMessage="1" sqref="C38:C49" xr:uid="{00000000-0002-0000-0500-000007000000}">
      <formula1>1950</formula1>
      <formula2>2100</formula2>
    </dataValidation>
  </dataValidations>
  <printOptions horizontalCentered="1"/>
  <pageMargins left="0.39370078740157483" right="0.39370078740157483" top="0.39370078740157483" bottom="0.39370078740157483" header="0.51181102362204722" footer="0.51181102362204722"/>
  <pageSetup paperSize="9" scale="46" fitToWidth="2" orientation="landscape" r:id="rId1"/>
  <headerFooter alignWithMargins="0"/>
  <rowBreaks count="1" manualBreakCount="1">
    <brk id="33" max="29" man="1"/>
  </rowBreaks>
  <colBreaks count="1" manualBreakCount="1">
    <brk id="15" max="71" man="1"/>
  </colBreaks>
  <drawing r:id="rId2"/>
  <legacyDrawing r:id="rId3"/>
  <controls>
    <mc:AlternateContent xmlns:mc="http://schemas.openxmlformats.org/markup-compatibility/2006">
      <mc:Choice Requires="x14">
        <control shapeId="47396" r:id="rId4" name="CommandButton2">
          <controlPr defaultSize="0" autoLine="0" r:id="rId5">
            <anchor moveWithCells="1">
              <from>
                <xdr:col>0</xdr:col>
                <xdr:colOff>66675</xdr:colOff>
                <xdr:row>34</xdr:row>
                <xdr:rowOff>533400</xdr:rowOff>
              </from>
              <to>
                <xdr:col>0</xdr:col>
                <xdr:colOff>4457700</xdr:colOff>
                <xdr:row>34</xdr:row>
                <xdr:rowOff>962025</xdr:rowOff>
              </to>
            </anchor>
          </controlPr>
        </control>
      </mc:Choice>
      <mc:Fallback>
        <control shapeId="47396" r:id="rId4" name="CommandButton2"/>
      </mc:Fallback>
    </mc:AlternateContent>
    <mc:AlternateContent xmlns:mc="http://schemas.openxmlformats.org/markup-compatibility/2006">
      <mc:Choice Requires="x14">
        <control shapeId="47395" r:id="rId6" name="CommandButton1">
          <controlPr defaultSize="0" autoFill="0" autoLine="0" r:id="rId7">
            <anchor moveWithCells="1">
              <from>
                <xdr:col>0</xdr:col>
                <xdr:colOff>66675</xdr:colOff>
                <xdr:row>34</xdr:row>
                <xdr:rowOff>76200</xdr:rowOff>
              </from>
              <to>
                <xdr:col>0</xdr:col>
                <xdr:colOff>4457700</xdr:colOff>
                <xdr:row>34</xdr:row>
                <xdr:rowOff>504825</xdr:rowOff>
              </to>
            </anchor>
          </controlPr>
        </control>
      </mc:Choice>
      <mc:Fallback>
        <control shapeId="47395" r:id="rId6" name="CommandButton1"/>
      </mc:Fallback>
    </mc:AlternateContent>
  </controls>
  <tableParts count="2">
    <tablePart r:id="rId8"/>
    <tablePart r:id="rId9"/>
  </tableParts>
  <extLst>
    <ext xmlns:x14="http://schemas.microsoft.com/office/spreadsheetml/2009/9/main" uri="{78C0D931-6437-407d-A8EE-F0AAD7539E65}">
      <x14:conditionalFormattings>
        <x14:conditionalFormatting xmlns:xm="http://schemas.microsoft.com/office/excel/2006/main">
          <x14:cfRule type="expression" priority="30" id="{DC656FF0-2DFB-4A23-AE3E-70C562507181}">
            <xm:f>OR(AND(J38&lt;&gt;K38,MATCH(B38,Listen!$A$1:$A$10,0)&gt;=3),AND(K38&lt;&gt;$K$21,B38=Listen!$A$2))</xm:f>
            <x14:dxf>
              <fill>
                <patternFill>
                  <bgColor rgb="FFFF0000"/>
                </patternFill>
              </fill>
            </x14:dxf>
          </x14:cfRule>
          <xm:sqref>K38:K49</xm:sqref>
        </x14:conditionalFormatting>
        <x14:conditionalFormatting xmlns:xm="http://schemas.microsoft.com/office/excel/2006/main">
          <x14:cfRule type="expression" priority="27" id="{2A05616E-8EB8-4809-8029-4E0C2A10F818}">
            <xm:f>OR(AND(J54&lt;&gt;K54,MATCH(B54,Listen!$A$1:$A$10,0)&gt;=3),AND(K54&lt;&gt;$K$21,B54=Listen!$A$2))</xm:f>
            <x14:dxf>
              <fill>
                <patternFill>
                  <bgColor rgb="FFFF0000"/>
                </patternFill>
              </fill>
            </x14:dxf>
          </x14:cfRule>
          <xm:sqref>K54:K64</xm:sqref>
        </x14:conditionalFormatting>
        <x14:conditionalFormatting xmlns:xm="http://schemas.microsoft.com/office/excel/2006/main">
          <x14:cfRule type="expression" priority="26" id="{F903361A-7915-4940-AE20-3C718EB64500}">
            <xm:f>OR(AND(J53&lt;&gt;K53,MATCH(B53,Listen!$A$1:$A$10,0)&gt;=3),AND(K53&lt;&gt;$K$21,B53=Listen!$A$2))</xm:f>
            <x14:dxf>
              <fill>
                <patternFill>
                  <bgColor rgb="FFFF0000"/>
                </patternFill>
              </fill>
            </x14:dxf>
          </x14:cfRule>
          <xm:sqref>K53</xm:sqref>
        </x14:conditionalFormatting>
        <x14:conditionalFormatting xmlns:xm="http://schemas.microsoft.com/office/excel/2006/main">
          <x14:cfRule type="expression" priority="13" id="{C84A5C50-07DC-4D7D-8839-C733074A0B7D}">
            <xm:f>OR($B53=Listen!$A$2,$B53=Listen!$A$1)</xm:f>
            <x14:dxf>
              <fill>
                <patternFill>
                  <bgColor theme="1"/>
                </patternFill>
              </fill>
            </x14:dxf>
          </x14:cfRule>
          <x14:cfRule type="expression" priority="14" id="{A598FB4F-1C2E-4B7A-A65C-D4F10F5B709C}">
            <xm:f>IFERROR(MATCH(C53,OFFSET(Listen!$B$1:C$1,MATCH(B53,Listen!$A$1:$A$10,0)-1,0,1,2),0),0)=0</xm:f>
            <x14:dxf>
              <fill>
                <patternFill>
                  <bgColor rgb="FFFF0000"/>
                </patternFill>
              </fill>
            </x14:dxf>
          </x14:cfRule>
          <xm:sqref>C53:C64</xm:sqref>
        </x14:conditionalFormatting>
        <x14:conditionalFormatting xmlns:xm="http://schemas.microsoft.com/office/excel/2006/main">
          <x14:cfRule type="expression" priority="12" id="{9E5A0F6E-4694-495F-9EB4-AF71126B358E}">
            <xm:f>OR(AND(B53&lt;&gt;0,IFERROR(VLOOKUP(B53,Listen!$A$1:$A$10,1,FALSE),0)=0),AND(B53=0,D53&lt;&gt;0),AND(B53=0,W53&lt;&gt;0))</xm:f>
            <x14:dxf>
              <fill>
                <patternFill>
                  <bgColor rgb="FFFF0000"/>
                </patternFill>
              </fill>
            </x14:dxf>
          </x14:cfRule>
          <xm:sqref>B53:B64</xm:sqref>
        </x14:conditionalFormatting>
        <x14:conditionalFormatting xmlns:xm="http://schemas.microsoft.com/office/excel/2006/main">
          <x14:cfRule type="expression" priority="11" id="{0D7B6E55-B5AE-4106-92A3-CD2EBAA0DDCE}">
            <xm:f>OR(AND(B38&lt;&gt;0,IFERROR(VLOOKUP(B38,Listen!$A$1:$A$10,1,FALSE),0)=0),AND(B38=0,D38&lt;&gt;0),AND(B38=0,W38&lt;&gt;0))</xm:f>
            <x14:dxf>
              <fill>
                <patternFill>
                  <bgColor rgb="FFFF0000"/>
                </patternFill>
              </fill>
            </x14:dxf>
          </x14:cfRule>
          <xm:sqref>B38:B49</xm:sqref>
        </x14:conditionalFormatting>
        <x14:conditionalFormatting xmlns:xm="http://schemas.microsoft.com/office/excel/2006/main">
          <x14:cfRule type="expression" priority="7" id="{0A127A60-0583-492D-8CAA-7494BAC81CBE}">
            <xm:f>OR($B38=Listen!$A$1,$B38=Listen!$A$2)</xm:f>
            <x14:dxf>
              <fill>
                <patternFill>
                  <bgColor theme="1"/>
                </patternFill>
              </fill>
            </x14:dxf>
          </x14:cfRule>
          <xm:sqref>C38:C49</xm:sqref>
        </x14:conditionalFormatting>
        <x14:conditionalFormatting xmlns:xm="http://schemas.microsoft.com/office/excel/2006/main">
          <x14:cfRule type="expression" priority="2" id="{234DCA70-ED97-4545-A02D-69F5EE2E50D2}">
            <xm:f>AND(J38&lt;&gt;IF(AND(F38&lt;&gt;"",B38="Rückspeisung eN",Allgemeines!$B$29&lt;=2028),$J$21,0) +IF(AND(F38&lt;&gt;"",OR(B38="EEG-nvol",B38="KWKG",B38="Sonstige-nvol"),AND(OR(C38="&lt;= 2022",C38&lt;=2022),Allgemeines!$B$29&lt;=2025)),1,0) +IF(AND(F38&lt;&gt;"",OR(B38="EEG-nvol",B38="KWKG",B38="Sonstige-nvol"),AND(OR(C38="&lt;= 2022",C38&lt;=2022),Allgemeines!$B$29&gt;=2026)),MIN(1,MAX(0,1-(Allgemeines!$B$29-2025)/4)),0) +IF(AND(F38&lt;&gt;"",OR(B38="EEG-vol",B38="Sonstige-vol"),OR(C38="&lt;= 2017",C38&lt;=2017),C38&gt;1900),MIN(1,MAX(0,1-(Allgemeines!$B$29-2017)/3)),0),B38&lt;&gt;"Rückspeisung fN")</xm:f>
            <x14:dxf>
              <fill>
                <patternFill>
                  <bgColor rgb="FFFF0000"/>
                </patternFill>
              </fill>
            </x14:dxf>
          </x14:cfRule>
          <xm:sqref>J38:J49</xm:sqref>
        </x14:conditionalFormatting>
        <x14:conditionalFormatting xmlns:xm="http://schemas.microsoft.com/office/excel/2006/main">
          <x14:cfRule type="expression" priority="1" id="{8EBCAE2F-D878-4827-8A2A-327B4995F128}">
            <xm:f>AND(J53&lt;&gt;IF(AND(F53&lt;&gt;"",B53="Rückspeisung eN",Allgemeines!$B$29&lt;=2028),$J$21,0) +IF(AND(F53&lt;&gt;"",OR(B53="EEG-nvol",B53="KWKG",B53="Sonstige-nvol"),AND(OR(C53="&lt;= 2022",C53&lt;=2022),Allgemeines!$B$29&lt;=2025)),1,0) +IF(AND(F53&lt;&gt;"",OR(B53="EEG-nvol",B53="KWKG",B53="Sonstige-nvol"),AND(OR(C53="&lt;= 2022",C53&lt;=2022),Allgemeines!$B$29&gt;=2026)),MIN(1,MAX(0,1-(Allgemeines!$B$29-2025)/4)),0) +IF(AND(F53&lt;&gt;"",OR(B53="EEG-vol",B53="Sonstige-vol"),OR(C53="&lt;= 2017",C53&lt;=2017),C53&gt;1900),MIN(1,MAX(0,1-(Allgemeines!$B$29-2017)/3)),0),B53&lt;&gt;"Rückspeisung fN")</xm:f>
            <x14:dxf>
              <fill>
                <patternFill>
                  <bgColor rgb="FFFF0000"/>
                </patternFill>
              </fill>
            </x14:dxf>
          </x14:cfRule>
          <xm:sqref>J53:J64</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0500-000008000000}">
          <x14:formula1>
            <xm:f>Listen!$A$12:$A$14</xm:f>
          </x14:formula1>
          <xm:sqref>U35</xm:sqref>
        </x14:dataValidation>
        <x14:dataValidation type="list" allowBlank="1" showInputMessage="1" showErrorMessage="1" xr:uid="{00000000-0002-0000-0500-000009000000}">
          <x14:formula1>
            <xm:f>Listen!$A$1:$A$9</xm:f>
          </x14:formula1>
          <xm:sqref>B53:B64 B38:B49</xm:sqref>
        </x14:dataValidation>
        <x14:dataValidation type="list" allowBlank="1" showInputMessage="1" showErrorMessage="1" xr:uid="{00000000-0002-0000-0500-00000A000000}">
          <x14:formula1>
            <xm:f>OFFSET(Listen!$B$1:$C$1,MATCH(B53,Listen!$A$1:$A$7,0)-1,0,1,2)</xm:f>
          </x14:formula1>
          <xm:sqref>C53:C64</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7">
    <tabColor rgb="FFFFFF00"/>
  </sheetPr>
  <dimension ref="A1:AE72"/>
  <sheetViews>
    <sheetView topLeftCell="A35" workbookViewId="0">
      <selection activeCell="J53" sqref="J53:J64"/>
    </sheetView>
  </sheetViews>
  <sheetFormatPr baseColWidth="10" defaultColWidth="11.42578125" defaultRowHeight="15" x14ac:dyDescent="0.25"/>
  <cols>
    <col min="1" max="1" width="67.7109375" style="27" customWidth="1"/>
    <col min="2" max="2" width="15.7109375" style="27" customWidth="1"/>
    <col min="3" max="3" width="15.28515625" style="27" customWidth="1"/>
    <col min="4" max="9" width="16.7109375" style="27" customWidth="1"/>
    <col min="10" max="12" width="8.7109375" style="27" customWidth="1"/>
    <col min="13" max="17" width="16.7109375" style="27" customWidth="1"/>
    <col min="18" max="20" width="16" style="27" customWidth="1"/>
    <col min="21" max="21" width="16" style="69" customWidth="1"/>
    <col min="22" max="23" width="16" style="27" customWidth="1"/>
    <col min="24" max="29" width="15.85546875" style="27" customWidth="1"/>
    <col min="30" max="30" width="15.7109375" style="27" customWidth="1"/>
    <col min="31" max="16384" width="11.42578125" style="27"/>
  </cols>
  <sheetData>
    <row r="1" spans="1:30" x14ac:dyDescent="0.25">
      <c r="A1" s="4" t="str">
        <f>'JHL NS'!A1</f>
        <v>XY GmbH</v>
      </c>
      <c r="B1" s="4" t="str">
        <f>+IF(AF!B1="","",AF!B1)</f>
        <v/>
      </c>
      <c r="C1" s="4"/>
      <c r="D1" s="4"/>
      <c r="E1" s="4"/>
      <c r="F1" s="4"/>
      <c r="G1" s="4"/>
      <c r="H1" s="4"/>
      <c r="I1" s="4"/>
      <c r="J1" s="4"/>
      <c r="K1" s="4"/>
      <c r="L1" s="4"/>
      <c r="M1" s="4"/>
      <c r="N1" s="4"/>
      <c r="O1" s="4"/>
      <c r="P1" s="4"/>
      <c r="Q1" s="4"/>
      <c r="R1" s="4"/>
      <c r="S1" s="4"/>
      <c r="T1" s="4"/>
      <c r="U1" s="264"/>
      <c r="V1" s="4"/>
      <c r="W1" s="4"/>
      <c r="X1" s="4"/>
      <c r="Y1" s="4"/>
      <c r="Z1" s="4"/>
      <c r="AA1" s="4"/>
      <c r="AB1" s="4"/>
      <c r="AC1" s="4"/>
      <c r="AD1" s="4"/>
    </row>
    <row r="2" spans="1:30" x14ac:dyDescent="0.25">
      <c r="A2" s="182"/>
      <c r="U2" s="27"/>
    </row>
    <row r="3" spans="1:30" ht="15" customHeight="1" x14ac:dyDescent="0.25">
      <c r="A3" s="41" t="s">
        <v>20</v>
      </c>
      <c r="U3" s="27"/>
      <c r="V3" s="742" t="s">
        <v>289</v>
      </c>
      <c r="W3" s="743"/>
      <c r="X3" s="743"/>
      <c r="Y3" s="743"/>
      <c r="Z3" s="743"/>
      <c r="AA3" s="743"/>
      <c r="AB3" s="743"/>
      <c r="AC3" s="743"/>
      <c r="AD3" s="744"/>
    </row>
    <row r="4" spans="1:30" x14ac:dyDescent="0.25">
      <c r="U4" s="27"/>
      <c r="V4" s="745"/>
      <c r="W4" s="746"/>
      <c r="X4" s="746"/>
      <c r="Y4" s="746"/>
      <c r="Z4" s="746"/>
      <c r="AA4" s="746"/>
      <c r="AB4" s="746"/>
      <c r="AC4" s="746"/>
      <c r="AD4" s="747"/>
    </row>
    <row r="5" spans="1:30" x14ac:dyDescent="0.25">
      <c r="A5" s="265" t="s">
        <v>405</v>
      </c>
      <c r="U5" s="27"/>
      <c r="V5" s="745"/>
      <c r="W5" s="746"/>
      <c r="X5" s="746"/>
      <c r="Y5" s="746"/>
      <c r="Z5" s="746"/>
      <c r="AA5" s="746"/>
      <c r="AB5" s="746"/>
      <c r="AC5" s="746"/>
      <c r="AD5" s="747"/>
    </row>
    <row r="6" spans="1:30" x14ac:dyDescent="0.25">
      <c r="A6" s="41"/>
      <c r="U6" s="27"/>
      <c r="V6" s="745"/>
      <c r="W6" s="746"/>
      <c r="X6" s="746"/>
      <c r="Y6" s="746"/>
      <c r="Z6" s="746"/>
      <c r="AA6" s="746"/>
      <c r="AB6" s="746"/>
      <c r="AC6" s="746"/>
      <c r="AD6" s="747"/>
    </row>
    <row r="7" spans="1:30" x14ac:dyDescent="0.25">
      <c r="A7" s="266"/>
      <c r="B7" s="266"/>
      <c r="C7" s="267" t="s">
        <v>7</v>
      </c>
      <c r="P7" s="69"/>
      <c r="Q7" s="69"/>
      <c r="R7" s="69"/>
      <c r="S7" s="69"/>
      <c r="T7" s="69"/>
      <c r="U7" s="27"/>
      <c r="V7" s="745"/>
      <c r="W7" s="746"/>
      <c r="X7" s="746"/>
      <c r="Y7" s="746"/>
      <c r="Z7" s="746"/>
      <c r="AA7" s="746"/>
      <c r="AB7" s="746"/>
      <c r="AC7" s="746"/>
      <c r="AD7" s="747"/>
    </row>
    <row r="8" spans="1:30" s="174" customFormat="1" ht="16.5" x14ac:dyDescent="0.2">
      <c r="A8" s="268" t="s">
        <v>346</v>
      </c>
      <c r="B8" s="269" t="s">
        <v>25</v>
      </c>
      <c r="C8" s="270">
        <f>(AF!I11+AF!K11+AF!J11)*(1+AF!P11)</f>
        <v>0</v>
      </c>
      <c r="E8" s="173"/>
      <c r="F8" s="173"/>
      <c r="G8" s="173"/>
      <c r="O8" s="271"/>
      <c r="P8" s="272"/>
      <c r="Q8" s="272"/>
      <c r="R8" s="272"/>
      <c r="S8" s="272"/>
      <c r="T8" s="272"/>
      <c r="V8" s="748"/>
      <c r="W8" s="749"/>
      <c r="X8" s="749"/>
      <c r="Y8" s="749"/>
      <c r="Z8" s="749"/>
      <c r="AA8" s="749"/>
      <c r="AB8" s="749"/>
      <c r="AC8" s="749"/>
      <c r="AD8" s="750"/>
    </row>
    <row r="9" spans="1:30" ht="16.5" x14ac:dyDescent="0.3">
      <c r="A9" s="273" t="s">
        <v>142</v>
      </c>
      <c r="B9" s="274" t="s">
        <v>143</v>
      </c>
      <c r="C9" s="275">
        <f>-AF!D11-AF!C11</f>
        <v>0</v>
      </c>
      <c r="E9" s="170"/>
      <c r="O9" s="171"/>
      <c r="P9" s="66"/>
      <c r="Q9" s="66"/>
      <c r="R9" s="66"/>
      <c r="S9" s="66"/>
      <c r="T9" s="66"/>
      <c r="U9" s="276"/>
      <c r="V9" s="66"/>
    </row>
    <row r="10" spans="1:30" ht="16.5" x14ac:dyDescent="0.3">
      <c r="A10" s="277" t="s">
        <v>6</v>
      </c>
      <c r="B10" s="278" t="s">
        <v>160</v>
      </c>
      <c r="C10" s="279">
        <f>MAX(0,C8+C9)</f>
        <v>0</v>
      </c>
      <c r="E10" s="41"/>
      <c r="F10" s="41"/>
      <c r="G10" s="280"/>
      <c r="O10" s="281"/>
      <c r="P10" s="282"/>
      <c r="Q10" s="282"/>
      <c r="R10" s="282"/>
      <c r="S10" s="282"/>
      <c r="T10" s="282"/>
      <c r="U10" s="283"/>
      <c r="V10" s="282"/>
    </row>
    <row r="12" spans="1:30" ht="45" customHeight="1" x14ac:dyDescent="0.25">
      <c r="A12" s="284" t="s">
        <v>144</v>
      </c>
      <c r="B12" s="285" t="s">
        <v>145</v>
      </c>
      <c r="C12" s="286">
        <f>D69</f>
        <v>0</v>
      </c>
      <c r="F12" s="66"/>
      <c r="U12" s="27"/>
      <c r="V12" s="287" t="s">
        <v>382</v>
      </c>
      <c r="W12" s="288" t="s">
        <v>383</v>
      </c>
    </row>
    <row r="13" spans="1:30" ht="15" customHeight="1" x14ac:dyDescent="0.25">
      <c r="B13" s="176"/>
      <c r="P13" s="289" t="s">
        <v>299</v>
      </c>
      <c r="Q13" s="290"/>
      <c r="R13" s="290"/>
      <c r="S13" s="290"/>
      <c r="T13" s="290"/>
      <c r="U13" s="290"/>
      <c r="V13" s="64"/>
      <c r="W13" s="63"/>
    </row>
    <row r="14" spans="1:30" ht="15" customHeight="1" x14ac:dyDescent="0.3">
      <c r="A14" s="291" t="s">
        <v>163</v>
      </c>
      <c r="B14" s="292" t="s">
        <v>28</v>
      </c>
      <c r="C14" s="293">
        <f>IF(C12=0,0,C10/C12)</f>
        <v>0</v>
      </c>
      <c r="P14" s="294" t="s">
        <v>300</v>
      </c>
      <c r="Q14" s="295"/>
      <c r="R14" s="295"/>
      <c r="S14" s="295"/>
      <c r="T14" s="295"/>
      <c r="U14" s="295"/>
      <c r="V14" s="482">
        <f>SUMIF('vermNE HS'!$B$38:$B$49,Listen!A2,'vermNE HS'!$X$38:$X$49)+SUMIF('vermNE HS'!$B$53:$B$64,Listen!A2,'vermNE HS'!$X$53:$X$64)</f>
        <v>0</v>
      </c>
      <c r="W14" s="483">
        <f>SUMIF('vermNE HS'!$B$38:$B$49,Listen!$A$2,'vermNE HS'!$Y$38:$Y$49)</f>
        <v>0</v>
      </c>
    </row>
    <row r="15" spans="1:30" ht="15" customHeight="1" x14ac:dyDescent="0.25">
      <c r="B15" s="176"/>
      <c r="C15" s="70"/>
      <c r="P15" s="296" t="s">
        <v>301</v>
      </c>
      <c r="Q15" s="297"/>
      <c r="R15" s="297"/>
      <c r="S15" s="297"/>
      <c r="T15" s="297"/>
      <c r="U15" s="297"/>
      <c r="V15" s="298">
        <f>V13+V14</f>
        <v>0</v>
      </c>
      <c r="W15" s="299">
        <f>W13+W14</f>
        <v>0</v>
      </c>
    </row>
    <row r="16" spans="1:30" x14ac:dyDescent="0.25">
      <c r="A16" s="300" t="s">
        <v>34</v>
      </c>
      <c r="B16" s="6" t="s">
        <v>1</v>
      </c>
      <c r="C16" s="264"/>
      <c r="D16" s="264"/>
      <c r="P16" s="289" t="s">
        <v>303</v>
      </c>
      <c r="Q16" s="290"/>
      <c r="R16" s="290"/>
      <c r="S16" s="290"/>
      <c r="T16" s="290"/>
      <c r="U16" s="290"/>
      <c r="V16" s="681">
        <f>Q69</f>
        <v>0</v>
      </c>
      <c r="W16" s="682">
        <f>V69</f>
        <v>0</v>
      </c>
    </row>
    <row r="17" spans="1:25" x14ac:dyDescent="0.25">
      <c r="A17" s="266"/>
      <c r="B17" s="301"/>
      <c r="C17" s="267" t="s">
        <v>9</v>
      </c>
      <c r="D17" s="302"/>
      <c r="E17" s="303" t="s">
        <v>50</v>
      </c>
      <c r="F17" s="291" t="s">
        <v>49</v>
      </c>
      <c r="G17" s="304"/>
      <c r="H17" s="304"/>
      <c r="I17" s="304"/>
      <c r="J17" s="304"/>
      <c r="K17" s="304"/>
      <c r="L17" s="304"/>
      <c r="M17" s="304"/>
      <c r="N17" s="305"/>
      <c r="O17" s="306"/>
      <c r="P17" s="307" t="s">
        <v>302</v>
      </c>
      <c r="Q17" s="308"/>
      <c r="R17" s="308"/>
      <c r="S17" s="308"/>
      <c r="T17" s="308"/>
      <c r="U17" s="308"/>
      <c r="V17" s="679">
        <f>V15-V16</f>
        <v>0</v>
      </c>
      <c r="W17" s="680">
        <f>W15-W16</f>
        <v>0</v>
      </c>
    </row>
    <row r="18" spans="1:25" ht="15" customHeight="1" x14ac:dyDescent="0.3">
      <c r="A18" s="266" t="s">
        <v>171</v>
      </c>
      <c r="B18" s="301" t="s">
        <v>156</v>
      </c>
      <c r="C18" s="115"/>
      <c r="D18" s="311" t="s">
        <v>26</v>
      </c>
      <c r="E18" s="112" t="s">
        <v>304</v>
      </c>
      <c r="F18" s="266"/>
      <c r="G18" s="312"/>
      <c r="H18" s="312"/>
      <c r="I18" s="312"/>
      <c r="J18" s="312"/>
      <c r="K18" s="312"/>
      <c r="L18" s="312"/>
      <c r="M18" s="312"/>
      <c r="N18" s="313"/>
      <c r="O18" s="306"/>
      <c r="U18" s="27"/>
      <c r="V18" s="69"/>
    </row>
    <row r="19" spans="1:25" ht="16.5" x14ac:dyDescent="0.3">
      <c r="A19" s="273" t="s">
        <v>15</v>
      </c>
      <c r="B19" s="274" t="s">
        <v>95</v>
      </c>
      <c r="C19" s="116"/>
      <c r="D19" s="314"/>
      <c r="E19" s="40"/>
      <c r="F19" s="315" t="str">
        <f>IF(B16="n","Jahreshöchstlast der Übergabestelle(n) lt. Eingangsrechnung/des Bezugssummenlastgangs","Summe der Jahreshöchstlasten lt. Eingangsrechnungen/Summe der Jahreshöchstlasten der Bezugslastgänge der ungepoolten Übergabestellen")</f>
        <v>Summe der Jahreshöchstlasten lt. Eingangsrechnungen/Summe der Jahreshöchstlasten der Bezugslastgänge der ungepoolten Übergabestellen</v>
      </c>
      <c r="G19" s="4"/>
      <c r="H19" s="4"/>
      <c r="I19" s="4"/>
      <c r="J19" s="4"/>
      <c r="K19" s="4"/>
      <c r="L19" s="4"/>
      <c r="M19" s="4"/>
      <c r="N19" s="316"/>
      <c r="O19" s="306"/>
      <c r="P19" s="291"/>
      <c r="Q19" s="304"/>
      <c r="R19" s="304"/>
      <c r="S19" s="304"/>
      <c r="T19" s="304"/>
      <c r="U19" s="304"/>
      <c r="V19" s="292"/>
      <c r="W19" s="326" t="s">
        <v>9</v>
      </c>
      <c r="X19" s="291"/>
      <c r="Y19" s="305" t="s">
        <v>50</v>
      </c>
    </row>
    <row r="20" spans="1:25" ht="16.5" customHeight="1" x14ac:dyDescent="0.3">
      <c r="A20" s="277" t="s">
        <v>0</v>
      </c>
      <c r="B20" s="317" t="s">
        <v>151</v>
      </c>
      <c r="C20" s="318">
        <f>MAX(C18+C19,0)</f>
        <v>0</v>
      </c>
      <c r="F20" s="319"/>
      <c r="H20" s="320"/>
      <c r="P20" s="266" t="s">
        <v>387</v>
      </c>
      <c r="Q20" s="312"/>
      <c r="R20" s="312"/>
      <c r="S20" s="312"/>
      <c r="U20" s="27"/>
      <c r="V20" s="301" t="s">
        <v>287</v>
      </c>
      <c r="W20" s="115"/>
      <c r="X20" s="301" t="s">
        <v>286</v>
      </c>
      <c r="Y20" s="148"/>
    </row>
    <row r="21" spans="1:25" ht="15" customHeight="1" x14ac:dyDescent="0.3">
      <c r="A21" s="306"/>
      <c r="B21" s="176"/>
      <c r="C21" s="321"/>
      <c r="D21" s="322"/>
      <c r="F21" s="319"/>
      <c r="G21" s="291" t="s">
        <v>424</v>
      </c>
      <c r="H21" s="304"/>
      <c r="I21" s="304"/>
      <c r="J21" s="502">
        <f>'vermNE MS'!U72</f>
        <v>0</v>
      </c>
      <c r="K21" s="502">
        <f>'vermNE MS'!U71</f>
        <v>0</v>
      </c>
      <c r="L21" s="304"/>
      <c r="M21" s="304"/>
      <c r="N21" s="305"/>
      <c r="P21" s="329" t="s">
        <v>285</v>
      </c>
      <c r="U21" s="27"/>
      <c r="V21" s="330" t="s">
        <v>288</v>
      </c>
      <c r="W21" s="113"/>
      <c r="X21" s="333" t="s">
        <v>286</v>
      </c>
      <c r="Y21" s="334">
        <f>Y20</f>
        <v>0</v>
      </c>
    </row>
    <row r="22" spans="1:25" ht="15" customHeight="1" x14ac:dyDescent="0.3">
      <c r="A22" s="266"/>
      <c r="B22" s="301"/>
      <c r="C22" s="323" t="s">
        <v>9</v>
      </c>
      <c r="D22" s="324"/>
      <c r="E22" s="325" t="str">
        <f>E17</f>
        <v>Zeitpunkt</v>
      </c>
      <c r="G22" s="266"/>
      <c r="H22" s="312"/>
      <c r="I22" s="312"/>
      <c r="J22" s="312"/>
      <c r="K22" s="312"/>
      <c r="L22" s="739" t="s">
        <v>376</v>
      </c>
      <c r="M22" s="751" t="s">
        <v>373</v>
      </c>
      <c r="N22" s="753" t="s">
        <v>372</v>
      </c>
      <c r="P22" s="335" t="s">
        <v>388</v>
      </c>
      <c r="Q22" s="4"/>
      <c r="R22" s="4"/>
      <c r="S22" s="4"/>
      <c r="T22" s="4"/>
      <c r="U22" s="4"/>
      <c r="V22" s="274" t="s">
        <v>390</v>
      </c>
      <c r="W22" s="114"/>
      <c r="X22" s="337" t="s">
        <v>286</v>
      </c>
      <c r="Y22" s="338">
        <f t="shared" ref="Y22:Y23" si="0">Y21</f>
        <v>0</v>
      </c>
    </row>
    <row r="23" spans="1:25" ht="15" customHeight="1" x14ac:dyDescent="0.3">
      <c r="A23" s="266" t="s">
        <v>172</v>
      </c>
      <c r="B23" s="301" t="s">
        <v>156</v>
      </c>
      <c r="C23" s="327">
        <f>C18</f>
        <v>0</v>
      </c>
      <c r="D23" s="311" t="s">
        <v>26</v>
      </c>
      <c r="E23" s="328" t="str">
        <f>IF($E$18="","",$E$18)</f>
        <v>noch einzutragen</v>
      </c>
      <c r="G23" s="306"/>
      <c r="L23" s="740"/>
      <c r="M23" s="752"/>
      <c r="N23" s="754"/>
      <c r="P23" s="291" t="s">
        <v>389</v>
      </c>
      <c r="Q23" s="304"/>
      <c r="R23" s="304"/>
      <c r="S23" s="304"/>
      <c r="T23" s="304"/>
      <c r="U23" s="304"/>
      <c r="V23" s="337" t="s">
        <v>391</v>
      </c>
      <c r="W23" s="342">
        <f>SUM(W20:W22)</f>
        <v>0</v>
      </c>
      <c r="X23" s="337" t="s">
        <v>286</v>
      </c>
      <c r="Y23" s="338">
        <f t="shared" si="0"/>
        <v>0</v>
      </c>
    </row>
    <row r="24" spans="1:25" ht="15" customHeight="1" x14ac:dyDescent="0.3">
      <c r="A24" s="329" t="s">
        <v>210</v>
      </c>
      <c r="B24" s="330" t="s">
        <v>173</v>
      </c>
      <c r="C24" s="113">
        <v>0</v>
      </c>
      <c r="D24" s="331" t="s">
        <v>26</v>
      </c>
      <c r="E24" s="332" t="str">
        <f>IF($E$18="","",$E$18)</f>
        <v>noch einzutragen</v>
      </c>
      <c r="G24" s="306"/>
      <c r="L24" s="740"/>
      <c r="M24" s="752"/>
      <c r="N24" s="754"/>
      <c r="W24" s="304"/>
    </row>
    <row r="25" spans="1:25" ht="16.5" customHeight="1" x14ac:dyDescent="0.3">
      <c r="A25" s="335" t="s">
        <v>68</v>
      </c>
      <c r="B25" s="274" t="s">
        <v>147</v>
      </c>
      <c r="C25" s="114"/>
      <c r="D25" s="314" t="s">
        <v>26</v>
      </c>
      <c r="E25" s="336" t="str">
        <f>IF($E$18="","",$E$18)</f>
        <v>noch einzutragen</v>
      </c>
      <c r="G25" s="306"/>
      <c r="L25" s="740"/>
      <c r="M25" s="752"/>
      <c r="N25" s="754"/>
      <c r="P25" s="266" t="s">
        <v>394</v>
      </c>
      <c r="Q25" s="312"/>
      <c r="R25" s="312"/>
      <c r="S25" s="312"/>
      <c r="T25" s="312"/>
      <c r="U25" s="312"/>
      <c r="V25" s="301" t="s">
        <v>290</v>
      </c>
      <c r="W25" s="349">
        <f>IF($C$28=1,
IF($D$67+$D$68&lt;&gt;0,(W23-R$66)/(($D$67+$D$68)/Allgemeines!$B$30),0),
IF($D$67&lt;&gt;0,R67/($D$67/Allgemeines!$B$30),0))</f>
        <v>0</v>
      </c>
    </row>
    <row r="26" spans="1:25" ht="16.5" customHeight="1" x14ac:dyDescent="0.3">
      <c r="A26" s="291" t="s">
        <v>174</v>
      </c>
      <c r="B26" s="292" t="s">
        <v>175</v>
      </c>
      <c r="C26" s="339">
        <f>SUM(C23:C25)</f>
        <v>0</v>
      </c>
      <c r="D26" s="314" t="s">
        <v>26</v>
      </c>
      <c r="E26" s="336" t="str">
        <f>IF($E$18="","",$E$18)</f>
        <v>noch einzutragen</v>
      </c>
      <c r="G26" s="315"/>
      <c r="H26" s="756" t="s">
        <v>375</v>
      </c>
      <c r="I26" s="756"/>
      <c r="J26" s="756"/>
      <c r="K26" s="756"/>
      <c r="L26" s="741"/>
      <c r="M26" s="340" t="s">
        <v>374</v>
      </c>
      <c r="N26" s="341" t="s">
        <v>476</v>
      </c>
      <c r="P26" s="315" t="s">
        <v>395</v>
      </c>
      <c r="Q26" s="4"/>
      <c r="R26" s="4"/>
      <c r="S26" s="4"/>
      <c r="T26" s="4"/>
      <c r="U26" s="4"/>
      <c r="V26" s="337" t="s">
        <v>291</v>
      </c>
      <c r="W26" s="351">
        <f>IF($C$28=1,W25,
IF($D$68&lt;&gt;0,(W23-SUM(R$38:R$49))/($D$68/Allgemeines!$B$30),0))</f>
        <v>0</v>
      </c>
    </row>
    <row r="27" spans="1:25" ht="16.5" customHeight="1" x14ac:dyDescent="0.25">
      <c r="B27" s="176"/>
      <c r="C27" s="66"/>
      <c r="D27" s="343"/>
      <c r="E27" s="344"/>
      <c r="G27" s="345" t="str">
        <f>CONCATENATE("Preisblatt für ",Allgemeines!B29)</f>
        <v>Preisblatt für 2027</v>
      </c>
      <c r="H27" s="755"/>
      <c r="I27" s="755"/>
      <c r="J27" s="755"/>
      <c r="K27" s="755"/>
      <c r="L27" s="346"/>
      <c r="M27" s="126"/>
      <c r="N27" s="127"/>
    </row>
    <row r="28" spans="1:25" x14ac:dyDescent="0.25">
      <c r="A28" s="266" t="s">
        <v>211</v>
      </c>
      <c r="B28" s="301"/>
      <c r="C28" s="347">
        <v>2</v>
      </c>
      <c r="D28" s="343"/>
      <c r="E28" s="319"/>
      <c r="G28" s="348" t="s">
        <v>325</v>
      </c>
      <c r="H28" s="757"/>
      <c r="I28" s="757"/>
      <c r="J28" s="757"/>
      <c r="K28" s="757"/>
      <c r="L28" s="135">
        <v>1</v>
      </c>
      <c r="M28" s="128"/>
      <c r="N28" s="129"/>
      <c r="U28" s="27"/>
      <c r="W28" s="553" t="s">
        <v>10</v>
      </c>
    </row>
    <row r="29" spans="1:25" ht="18" x14ac:dyDescent="0.25">
      <c r="A29" s="306" t="s">
        <v>212</v>
      </c>
      <c r="B29" s="333" t="s">
        <v>217</v>
      </c>
      <c r="C29" s="349">
        <f>IF($C$28=1,
IF($D$67+$D$68&lt;&gt;0,($C$26-G$66)/(($D$67+$D$68)/Allgemeines!$B$30),0),
IF($D$67&lt;&gt;0,G67/($D$67/Allgemeines!$B$30),0))</f>
        <v>0</v>
      </c>
      <c r="G29" s="350" t="s">
        <v>325</v>
      </c>
      <c r="H29" s="758"/>
      <c r="I29" s="758"/>
      <c r="J29" s="758"/>
      <c r="K29" s="758"/>
      <c r="L29" s="136"/>
      <c r="M29" s="125"/>
      <c r="N29" s="130"/>
      <c r="T29" s="291" t="s">
        <v>434</v>
      </c>
      <c r="U29" s="304"/>
      <c r="V29" s="304"/>
      <c r="W29" s="560">
        <v>0</v>
      </c>
    </row>
    <row r="30" spans="1:25" ht="18" x14ac:dyDescent="0.25">
      <c r="A30" s="315" t="s">
        <v>213</v>
      </c>
      <c r="B30" s="337" t="s">
        <v>218</v>
      </c>
      <c r="C30" s="351">
        <f>IF($C$28=1,C29,
IF($D$68&lt;&gt;0,($C$26-SUM(H$38:H$49))/($D$68/Allgemeines!$B$30),0))</f>
        <v>0</v>
      </c>
      <c r="D30" s="352"/>
      <c r="G30" s="350" t="s">
        <v>325</v>
      </c>
      <c r="H30" s="758"/>
      <c r="I30" s="758"/>
      <c r="J30" s="758"/>
      <c r="K30" s="758"/>
      <c r="L30" s="136"/>
      <c r="M30" s="125"/>
      <c r="N30" s="130"/>
      <c r="T30" s="306" t="s">
        <v>435</v>
      </c>
      <c r="U30" s="27"/>
      <c r="W30" s="499">
        <f>W29-W31</f>
        <v>0</v>
      </c>
    </row>
    <row r="31" spans="1:25" ht="16.5" x14ac:dyDescent="0.3">
      <c r="A31" s="315" t="s">
        <v>181</v>
      </c>
      <c r="B31" s="337" t="s">
        <v>31</v>
      </c>
      <c r="C31" s="342">
        <f>IF(C26&lt;&gt;0,C20/C26,0)</f>
        <v>0</v>
      </c>
      <c r="D31" s="352"/>
      <c r="G31" s="350" t="s">
        <v>325</v>
      </c>
      <c r="H31" s="758"/>
      <c r="I31" s="758"/>
      <c r="J31" s="758"/>
      <c r="K31" s="758"/>
      <c r="L31" s="136"/>
      <c r="M31" s="125"/>
      <c r="N31" s="130"/>
      <c r="T31" s="315" t="s">
        <v>436</v>
      </c>
      <c r="U31" s="4"/>
      <c r="V31" s="4"/>
      <c r="W31" s="500">
        <f>SUM(HMmL[Spalte222])+SUM(HMoL[Spalte222])</f>
        <v>0</v>
      </c>
    </row>
    <row r="32" spans="1:25" x14ac:dyDescent="0.25">
      <c r="B32" s="176"/>
      <c r="C32" s="321"/>
      <c r="D32" s="352"/>
      <c r="G32" s="353" t="s">
        <v>325</v>
      </c>
      <c r="H32" s="759"/>
      <c r="I32" s="759"/>
      <c r="J32" s="759"/>
      <c r="K32" s="759"/>
      <c r="L32" s="137"/>
      <c r="M32" s="131"/>
      <c r="N32" s="132"/>
    </row>
    <row r="33" spans="1:31" x14ac:dyDescent="0.25">
      <c r="B33" s="176"/>
      <c r="C33" s="321"/>
      <c r="D33" s="352"/>
      <c r="U33" s="27"/>
    </row>
    <row r="34" spans="1:31" ht="15.75" thickBot="1" x14ac:dyDescent="0.3">
      <c r="A34" s="354" t="s">
        <v>416</v>
      </c>
      <c r="B34" s="355"/>
      <c r="C34" s="355"/>
      <c r="D34" s="355"/>
      <c r="E34" s="355"/>
      <c r="F34" s="355"/>
      <c r="G34" s="356"/>
      <c r="H34" s="356"/>
      <c r="I34" s="356"/>
      <c r="J34" s="356"/>
      <c r="K34" s="356"/>
      <c r="L34" s="356"/>
      <c r="M34" s="357"/>
      <c r="N34" s="355"/>
      <c r="O34" s="355"/>
      <c r="P34" s="355"/>
      <c r="Q34" s="355"/>
      <c r="R34" s="355"/>
      <c r="S34" s="355"/>
      <c r="T34" s="355"/>
      <c r="U34" s="355"/>
      <c r="V34" s="355"/>
      <c r="W34" s="355"/>
      <c r="X34" s="355"/>
      <c r="Y34" s="355"/>
      <c r="Z34" s="356"/>
      <c r="AA34" s="356"/>
      <c r="AB34" s="355"/>
      <c r="AC34" s="355"/>
      <c r="AD34" s="355"/>
      <c r="AE34" s="355"/>
    </row>
    <row r="35" spans="1:31" s="69" customFormat="1" ht="90.75" x14ac:dyDescent="0.3">
      <c r="A35" s="358" t="s">
        <v>331</v>
      </c>
      <c r="B35" s="359" t="s">
        <v>369</v>
      </c>
      <c r="C35" s="359" t="s">
        <v>321</v>
      </c>
      <c r="D35" s="359" t="s">
        <v>8</v>
      </c>
      <c r="E35" s="360" t="s">
        <v>29</v>
      </c>
      <c r="F35" s="361" t="s">
        <v>2</v>
      </c>
      <c r="G35" s="359" t="s">
        <v>384</v>
      </c>
      <c r="H35" s="362" t="s">
        <v>385</v>
      </c>
      <c r="I35" s="363" t="s">
        <v>386</v>
      </c>
      <c r="J35" s="364" t="s">
        <v>363</v>
      </c>
      <c r="K35" s="364" t="s">
        <v>364</v>
      </c>
      <c r="L35" s="364" t="s">
        <v>376</v>
      </c>
      <c r="M35" s="364" t="s">
        <v>330</v>
      </c>
      <c r="N35" s="365" t="s">
        <v>254</v>
      </c>
      <c r="O35" s="366" t="s">
        <v>255</v>
      </c>
      <c r="P35" s="367" t="s">
        <v>318</v>
      </c>
      <c r="Q35" s="368" t="s">
        <v>256</v>
      </c>
      <c r="R35" s="359" t="s">
        <v>502</v>
      </c>
      <c r="S35" s="359" t="s">
        <v>501</v>
      </c>
      <c r="T35" s="369" t="s">
        <v>397</v>
      </c>
      <c r="U35" s="117" t="s">
        <v>298</v>
      </c>
      <c r="V35" s="368" t="s">
        <v>257</v>
      </c>
      <c r="W35" s="554" t="s">
        <v>439</v>
      </c>
      <c r="X35" s="656" t="s">
        <v>258</v>
      </c>
      <c r="Y35" s="657" t="s">
        <v>259</v>
      </c>
      <c r="Z35" s="365" t="str">
        <f>CONCATENATE("vermNE
Arbeit
ohne Rückspeisung
Preisblatt
für ",Allgemeines!B29)</f>
        <v>vermNE
Arbeit
ohne Rückspeisung
Preisblatt
für 2027</v>
      </c>
      <c r="AA35" s="365" t="str">
        <f>CONCATENATE("vermNE 
Leistung
ohne Rückspeisung
Preisblatt 
für ",Allgemeines!B29)</f>
        <v>vermNE 
Leistung
ohne Rückspeisung
Preisblatt 
für 2027</v>
      </c>
      <c r="AB35" s="370" t="str">
        <f>CONCATENATE("vermNE 
ohne Rückspeisung
Preisblatt 
für ",Allgemeines!B29)</f>
        <v>vermNE 
ohne Rückspeisung
Preisblatt 
für 2027</v>
      </c>
      <c r="AC35" s="365" t="s">
        <v>370</v>
      </c>
      <c r="AD35" s="368" t="s">
        <v>371</v>
      </c>
      <c r="AE35" s="366" t="s">
        <v>326</v>
      </c>
    </row>
    <row r="36" spans="1:31" s="69" customFormat="1" ht="15.75" thickBot="1" x14ac:dyDescent="0.3">
      <c r="A36" s="371"/>
      <c r="B36" s="372"/>
      <c r="C36" s="372"/>
      <c r="D36" s="372" t="s">
        <v>7</v>
      </c>
      <c r="E36" s="373" t="s">
        <v>7</v>
      </c>
      <c r="F36" s="374"/>
      <c r="G36" s="375" t="s">
        <v>9</v>
      </c>
      <c r="H36" s="375" t="s">
        <v>9</v>
      </c>
      <c r="I36" s="376" t="s">
        <v>9</v>
      </c>
      <c r="J36" s="377"/>
      <c r="K36" s="378"/>
      <c r="L36" s="378"/>
      <c r="M36" s="378"/>
      <c r="N36" s="379" t="s">
        <v>10</v>
      </c>
      <c r="O36" s="380" t="s">
        <v>10</v>
      </c>
      <c r="P36" s="381" t="s">
        <v>7</v>
      </c>
      <c r="Q36" s="382" t="s">
        <v>10</v>
      </c>
      <c r="R36" s="375" t="s">
        <v>9</v>
      </c>
      <c r="S36" s="375" t="s">
        <v>9</v>
      </c>
      <c r="T36" s="383" t="s">
        <v>9</v>
      </c>
      <c r="U36" s="372" t="str">
        <f>CHOOSE(RIGHT(U$35,1),P36,R36,T36)</f>
        <v>[kW]</v>
      </c>
      <c r="V36" s="382" t="s">
        <v>10</v>
      </c>
      <c r="W36" s="555" t="s">
        <v>10</v>
      </c>
      <c r="X36" s="658" t="s">
        <v>10</v>
      </c>
      <c r="Y36" s="659" t="s">
        <v>10</v>
      </c>
      <c r="Z36" s="379" t="s">
        <v>10</v>
      </c>
      <c r="AA36" s="379" t="s">
        <v>10</v>
      </c>
      <c r="AB36" s="384" t="s">
        <v>10</v>
      </c>
      <c r="AC36" s="379" t="s">
        <v>10</v>
      </c>
      <c r="AD36" s="382" t="s">
        <v>10</v>
      </c>
      <c r="AE36" s="380" t="s">
        <v>10</v>
      </c>
    </row>
    <row r="37" spans="1:31" s="69" customFormat="1" ht="15" hidden="1" customHeight="1" thickBot="1" x14ac:dyDescent="0.3">
      <c r="A37" s="385" t="s">
        <v>261</v>
      </c>
      <c r="B37" s="386" t="s">
        <v>262</v>
      </c>
      <c r="C37" s="386" t="s">
        <v>263</v>
      </c>
      <c r="D37" s="386" t="s">
        <v>264</v>
      </c>
      <c r="E37" s="387" t="s">
        <v>265</v>
      </c>
      <c r="F37" s="388" t="s">
        <v>266</v>
      </c>
      <c r="G37" s="386" t="s">
        <v>409</v>
      </c>
      <c r="H37" s="389" t="s">
        <v>410</v>
      </c>
      <c r="I37" s="390" t="s">
        <v>267</v>
      </c>
      <c r="J37" s="391" t="s">
        <v>268</v>
      </c>
      <c r="K37" s="391" t="s">
        <v>269</v>
      </c>
      <c r="L37" s="391" t="s">
        <v>270</v>
      </c>
      <c r="M37" s="391" t="s">
        <v>271</v>
      </c>
      <c r="N37" s="392" t="s">
        <v>272</v>
      </c>
      <c r="O37" s="393" t="s">
        <v>273</v>
      </c>
      <c r="P37" s="394" t="s">
        <v>274</v>
      </c>
      <c r="Q37" s="395" t="s">
        <v>275</v>
      </c>
      <c r="R37" s="386" t="s">
        <v>276</v>
      </c>
      <c r="S37" s="386" t="s">
        <v>277</v>
      </c>
      <c r="T37" s="396" t="s">
        <v>278</v>
      </c>
      <c r="U37" s="154" t="s">
        <v>319</v>
      </c>
      <c r="V37" s="395" t="s">
        <v>320</v>
      </c>
      <c r="W37" s="392" t="s">
        <v>438</v>
      </c>
      <c r="X37" s="660" t="s">
        <v>327</v>
      </c>
      <c r="Y37" s="661" t="s">
        <v>339</v>
      </c>
      <c r="Z37" s="392" t="s">
        <v>340</v>
      </c>
      <c r="AA37" s="392" t="s">
        <v>341</v>
      </c>
      <c r="AB37" s="397" t="s">
        <v>342</v>
      </c>
      <c r="AC37" s="392" t="s">
        <v>343</v>
      </c>
      <c r="AD37" s="395" t="s">
        <v>344</v>
      </c>
      <c r="AE37" s="393" t="s">
        <v>345</v>
      </c>
    </row>
    <row r="38" spans="1:31" x14ac:dyDescent="0.25">
      <c r="A38" s="149"/>
      <c r="B38" s="1"/>
      <c r="C38" s="1"/>
      <c r="D38" s="150"/>
      <c r="E38" s="398">
        <f>D38*$C$14</f>
        <v>0</v>
      </c>
      <c r="F38" s="5"/>
      <c r="G38" s="111"/>
      <c r="H38" s="399">
        <f>IF($F38="j",$D38/Allgemeines!$B$30*$C$29,G38)</f>
        <v>0</v>
      </c>
      <c r="I38" s="400">
        <f>H38*$C$31</f>
        <v>0</v>
      </c>
      <c r="J38" s="139">
        <f>IF(AND(F38&lt;&gt;"",B38="Rückspeisung eN",Allgemeines!$B$29&lt;=2028),$J$21,0)
+IF(AND(F38&lt;&gt;"",OR(B38="EEG-nvol",B38="KWKG",B38="Sonstige-nvol"),AND(OR(C38="&lt;= 2022",C38&lt;=2022),Allgemeines!$B$29&lt;=2025)),1,0)
+IF(AND(F38&lt;&gt;"",OR(B38="EEG-nvol",B38="KWKG",B38="Sonstige-nvol"),AND(OR(C38="&lt;= 2022",C38&lt;=2022),Allgemeines!$B$29&gt;=2026)),1-(Allgemeines!$B$29-2025)/4,0)
+IF(AND(F38&lt;&gt;"",OR(B38="EEG-vol",B38="Sonstige-vol"),OR(C38="&lt;= 2017",C38&lt;=2017),C38&gt;1900),MIN(1,MAX(0,1-(Allgemeines!$B$29-2017)/3)),0)</f>
        <v>0</v>
      </c>
      <c r="K38" s="139">
        <f t="shared" ref="K38:K49" si="1">IF(B38="Rückspeisung eN",$K$21,J38)</f>
        <v>0</v>
      </c>
      <c r="L38" s="138"/>
      <c r="M38" s="401" t="str">
        <f t="shared" ref="M38:M49" si="2">IF(MAX($AE38,$AB38)&gt;0,
IF($AE38&lt;$AB38,"R","A"),"")</f>
        <v/>
      </c>
      <c r="N38" s="402">
        <f t="shared" ref="N38:N49" si="3">IF($AE38&lt;$AB38,AC38,Z38)</f>
        <v>0</v>
      </c>
      <c r="O38" s="403">
        <f t="shared" ref="O38:O49" si="4">IF($AE38&lt;$AB38,AD38,AA38)</f>
        <v>0</v>
      </c>
      <c r="P38" s="404">
        <f t="shared" ref="P38:P49" si="5">D38*J38</f>
        <v>0</v>
      </c>
      <c r="Q38" s="405">
        <f t="shared" ref="Q38:Q49" si="6">IF($P$69&gt;0,$V$15*P38/$P$69,0)</f>
        <v>0</v>
      </c>
      <c r="R38" s="111"/>
      <c r="S38" s="399">
        <f>IF($F38="j",$D38/Allgemeines!$B$30*W$25,R38)*$K38</f>
        <v>0</v>
      </c>
      <c r="T38" s="406">
        <f t="shared" ref="T38:T49" si="7">H38*K38</f>
        <v>0</v>
      </c>
      <c r="U38" s="399">
        <f t="shared" ref="U38:U49" si="8">CHOOSE(RIGHT(U$35,1),P38,S38,T38)</f>
        <v>0</v>
      </c>
      <c r="V38" s="405">
        <f t="shared" ref="V38:V49" si="9">IF($U$69&gt;0,$W$15*U38/$U$69,0)</f>
        <v>0</v>
      </c>
      <c r="W38" s="558"/>
      <c r="X38" s="672">
        <f t="shared" ref="X38:X49" si="10">N38+Q38</f>
        <v>0</v>
      </c>
      <c r="Y38" s="663">
        <f t="shared" ref="Y38:Y49" si="11">O38+V38</f>
        <v>0</v>
      </c>
      <c r="Z38" s="402">
        <f t="shared" ref="Z38:Z49" si="12">IF(L38&lt;&gt;0,E38*M$27/100*$J38,0)</f>
        <v>0</v>
      </c>
      <c r="AA38" s="408">
        <f t="shared" ref="AA38:AA49" si="13">IF(AND(F38&lt;&gt;"",L38&lt;&gt;0),I38*N$27*$K38,0)</f>
        <v>0</v>
      </c>
      <c r="AB38" s="409">
        <f>Z38+AA38</f>
        <v>0</v>
      </c>
      <c r="AC38" s="402">
        <f t="shared" ref="AC38:AC49" si="14">IF(L38&lt;&gt;"",E38*IFERROR(VLOOKUP(L38,$L$28:$N$32,2,FALSE),0)/100*$J38,0)</f>
        <v>0</v>
      </c>
      <c r="AD38" s="408">
        <f t="shared" ref="AD38:AD49" si="15">IF(AND(F38&lt;&gt;"",L38&lt;&gt;""),I38*IFERROR(VLOOKUP(L38,$L$28:$N$32,3,FALSE),0)*$K38,0)</f>
        <v>0</v>
      </c>
      <c r="AE38" s="410">
        <f>AC38+AD38</f>
        <v>0</v>
      </c>
    </row>
    <row r="39" spans="1:31" x14ac:dyDescent="0.25">
      <c r="A39" s="133"/>
      <c r="B39" s="1"/>
      <c r="C39" s="1"/>
      <c r="D39" s="30"/>
      <c r="E39" s="398">
        <f t="shared" ref="E39:E49" si="16">D39*$C$14</f>
        <v>0</v>
      </c>
      <c r="F39" s="5"/>
      <c r="G39" s="111"/>
      <c r="H39" s="321">
        <f>IF(F39="j",D39/Allgemeines!$B$30*$C$29,G39)</f>
        <v>0</v>
      </c>
      <c r="I39" s="411">
        <f t="shared" ref="I39:I49" si="17">H39*$C$31</f>
        <v>0</v>
      </c>
      <c r="J39" s="139">
        <f>IF(AND(F39&lt;&gt;"",B39="Rückspeisung eN",Allgemeines!$B$29&lt;=2028),$J$21,0)
+IF(AND(F39&lt;&gt;"",OR(B39="EEG-nvol",B39="KWKG",B39="Sonstige-nvol"),AND(OR(C39="&lt;= 2022",C39&lt;=2022),Allgemeines!$B$29&lt;=2025)),1,0)
+IF(AND(F39&lt;&gt;"",OR(B39="EEG-nvol",B39="KWKG",B39="Sonstige-nvol"),AND(OR(C39="&lt;= 2022",C39&lt;=2022),Allgemeines!$B$29&gt;=2026)),1-(Allgemeines!$B$29-2025)/4,0)
+IF(AND(F39&lt;&gt;"",OR(B39="EEG-vol",B39="Sonstige-vol"),OR(C39="&lt;= 2017",C39&lt;=2017),C39&gt;1900),MIN(1,MAX(0,1-(Allgemeines!$B$29-2017)/3)),0)</f>
        <v>0</v>
      </c>
      <c r="K39" s="139">
        <f t="shared" si="1"/>
        <v>0</v>
      </c>
      <c r="L39" s="138"/>
      <c r="M39" s="69" t="str">
        <f t="shared" si="2"/>
        <v/>
      </c>
      <c r="N39" s="402">
        <f t="shared" si="3"/>
        <v>0</v>
      </c>
      <c r="O39" s="403">
        <f t="shared" si="4"/>
        <v>0</v>
      </c>
      <c r="P39" s="404">
        <f t="shared" si="5"/>
        <v>0</v>
      </c>
      <c r="Q39" s="405">
        <f t="shared" si="6"/>
        <v>0</v>
      </c>
      <c r="R39" s="111"/>
      <c r="S39" s="321">
        <f>IF($F39="j",$D39/Allgemeines!$B$30*W$25,R39)*$K39</f>
        <v>0</v>
      </c>
      <c r="T39" s="406">
        <f t="shared" si="7"/>
        <v>0</v>
      </c>
      <c r="U39" s="399">
        <f t="shared" si="8"/>
        <v>0</v>
      </c>
      <c r="V39" s="405">
        <f t="shared" si="9"/>
        <v>0</v>
      </c>
      <c r="W39" s="558"/>
      <c r="X39" s="662">
        <f t="shared" si="10"/>
        <v>0</v>
      </c>
      <c r="Y39" s="663">
        <f t="shared" si="11"/>
        <v>0</v>
      </c>
      <c r="Z39" s="402">
        <f t="shared" si="12"/>
        <v>0</v>
      </c>
      <c r="AA39" s="408">
        <f t="shared" si="13"/>
        <v>0</v>
      </c>
      <c r="AB39" s="409">
        <f t="shared" ref="AB39:AB49" si="18">Z39+AA39</f>
        <v>0</v>
      </c>
      <c r="AC39" s="402">
        <f t="shared" si="14"/>
        <v>0</v>
      </c>
      <c r="AD39" s="405">
        <f t="shared" si="15"/>
        <v>0</v>
      </c>
      <c r="AE39" s="412">
        <f t="shared" ref="AE39:AE49" si="19">AC39+AD39</f>
        <v>0</v>
      </c>
    </row>
    <row r="40" spans="1:31" x14ac:dyDescent="0.25">
      <c r="A40" s="133"/>
      <c r="B40" s="1"/>
      <c r="C40" s="1"/>
      <c r="D40" s="2"/>
      <c r="E40" s="398">
        <f t="shared" si="16"/>
        <v>0</v>
      </c>
      <c r="F40" s="5"/>
      <c r="G40" s="111"/>
      <c r="H40" s="321">
        <f>IF(F40="j",D40/Allgemeines!$B$30*$C$29,G40)</f>
        <v>0</v>
      </c>
      <c r="I40" s="411">
        <f t="shared" si="17"/>
        <v>0</v>
      </c>
      <c r="J40" s="139">
        <f>IF(AND(F40&lt;&gt;"",B40="Rückspeisung eN",Allgemeines!$B$29&lt;=2028),$J$21,0)
+IF(AND(F40&lt;&gt;"",OR(B40="EEG-nvol",B40="KWKG",B40="Sonstige-nvol"),AND(OR(C40="&lt;= 2022",C40&lt;=2022),Allgemeines!$B$29&lt;=2025)),1,0)
+IF(AND(F40&lt;&gt;"",OR(B40="EEG-nvol",B40="KWKG",B40="Sonstige-nvol"),AND(OR(C40="&lt;= 2022",C40&lt;=2022),Allgemeines!$B$29&gt;=2026)),1-(Allgemeines!$B$29-2025)/4,0)
+IF(AND(F40&lt;&gt;"",OR(B40="EEG-vol",B40="Sonstige-vol"),OR(C40="&lt;= 2017",C40&lt;=2017),C40&gt;1900),MIN(1,MAX(0,1-(Allgemeines!$B$29-2017)/3)),0)</f>
        <v>0</v>
      </c>
      <c r="K40" s="139">
        <f t="shared" si="1"/>
        <v>0</v>
      </c>
      <c r="L40" s="138"/>
      <c r="M40" s="71" t="str">
        <f t="shared" si="2"/>
        <v/>
      </c>
      <c r="N40" s="402">
        <f t="shared" si="3"/>
        <v>0</v>
      </c>
      <c r="O40" s="403">
        <f t="shared" si="4"/>
        <v>0</v>
      </c>
      <c r="P40" s="404">
        <f t="shared" si="5"/>
        <v>0</v>
      </c>
      <c r="Q40" s="405">
        <f t="shared" si="6"/>
        <v>0</v>
      </c>
      <c r="R40" s="111"/>
      <c r="S40" s="321">
        <f>IF($F40="j",$D40/Allgemeines!$B$30*W$25,R40)*$K40</f>
        <v>0</v>
      </c>
      <c r="T40" s="406">
        <f t="shared" si="7"/>
        <v>0</v>
      </c>
      <c r="U40" s="399">
        <f t="shared" si="8"/>
        <v>0</v>
      </c>
      <c r="V40" s="405">
        <f t="shared" si="9"/>
        <v>0</v>
      </c>
      <c r="W40" s="558"/>
      <c r="X40" s="662">
        <f t="shared" si="10"/>
        <v>0</v>
      </c>
      <c r="Y40" s="663">
        <f t="shared" si="11"/>
        <v>0</v>
      </c>
      <c r="Z40" s="402">
        <f t="shared" si="12"/>
        <v>0</v>
      </c>
      <c r="AA40" s="408">
        <f t="shared" si="13"/>
        <v>0</v>
      </c>
      <c r="AB40" s="409">
        <f t="shared" si="18"/>
        <v>0</v>
      </c>
      <c r="AC40" s="402">
        <f t="shared" si="14"/>
        <v>0</v>
      </c>
      <c r="AD40" s="405">
        <f t="shared" si="15"/>
        <v>0</v>
      </c>
      <c r="AE40" s="412">
        <f t="shared" si="19"/>
        <v>0</v>
      </c>
    </row>
    <row r="41" spans="1:31" x14ac:dyDescent="0.25">
      <c r="A41" s="133"/>
      <c r="B41" s="1"/>
      <c r="C41" s="1"/>
      <c r="D41" s="2"/>
      <c r="E41" s="398">
        <f t="shared" si="16"/>
        <v>0</v>
      </c>
      <c r="F41" s="5"/>
      <c r="G41" s="111"/>
      <c r="H41" s="321">
        <f>IF(F41="j",D41/Allgemeines!$B$30*$C$29,G41)</f>
        <v>0</v>
      </c>
      <c r="I41" s="411">
        <f t="shared" si="17"/>
        <v>0</v>
      </c>
      <c r="J41" s="139">
        <f>IF(AND(F41&lt;&gt;"",B41="Rückspeisung eN",Allgemeines!$B$29&lt;=2028),$J$21,0)
+IF(AND(F41&lt;&gt;"",OR(B41="EEG-nvol",B41="KWKG",B41="Sonstige-nvol"),AND(OR(C41="&lt;= 2022",C41&lt;=2022),Allgemeines!$B$29&lt;=2025)),1,0)
+IF(AND(F41&lt;&gt;"",OR(B41="EEG-nvol",B41="KWKG",B41="Sonstige-nvol"),AND(OR(C41="&lt;= 2022",C41&lt;=2022),Allgemeines!$B$29&gt;=2026)),1-(Allgemeines!$B$29-2025)/4,0)
+IF(AND(F41&lt;&gt;"",OR(B41="EEG-vol",B41="Sonstige-vol"),OR(C41="&lt;= 2017",C41&lt;=2017),C41&gt;1900),MIN(1,MAX(0,1-(Allgemeines!$B$29-2017)/3)),0)</f>
        <v>0</v>
      </c>
      <c r="K41" s="139">
        <f t="shared" si="1"/>
        <v>0</v>
      </c>
      <c r="L41" s="138"/>
      <c r="M41" s="71" t="str">
        <f t="shared" si="2"/>
        <v/>
      </c>
      <c r="N41" s="402">
        <f t="shared" si="3"/>
        <v>0</v>
      </c>
      <c r="O41" s="403">
        <f t="shared" si="4"/>
        <v>0</v>
      </c>
      <c r="P41" s="404">
        <f t="shared" si="5"/>
        <v>0</v>
      </c>
      <c r="Q41" s="405">
        <f t="shared" si="6"/>
        <v>0</v>
      </c>
      <c r="R41" s="111"/>
      <c r="S41" s="321">
        <f>IF($F41="j",$D41/Allgemeines!$B$30*W$25,R41)*$K41</f>
        <v>0</v>
      </c>
      <c r="T41" s="406">
        <f t="shared" si="7"/>
        <v>0</v>
      </c>
      <c r="U41" s="399">
        <f t="shared" si="8"/>
        <v>0</v>
      </c>
      <c r="V41" s="405">
        <f t="shared" si="9"/>
        <v>0</v>
      </c>
      <c r="W41" s="558"/>
      <c r="X41" s="662">
        <f t="shared" si="10"/>
        <v>0</v>
      </c>
      <c r="Y41" s="663">
        <f t="shared" si="11"/>
        <v>0</v>
      </c>
      <c r="Z41" s="402">
        <f t="shared" si="12"/>
        <v>0</v>
      </c>
      <c r="AA41" s="408">
        <f t="shared" si="13"/>
        <v>0</v>
      </c>
      <c r="AB41" s="409">
        <f t="shared" si="18"/>
        <v>0</v>
      </c>
      <c r="AC41" s="402">
        <f t="shared" si="14"/>
        <v>0</v>
      </c>
      <c r="AD41" s="405">
        <f t="shared" si="15"/>
        <v>0</v>
      </c>
      <c r="AE41" s="412">
        <f t="shared" si="19"/>
        <v>0</v>
      </c>
    </row>
    <row r="42" spans="1:31" x14ac:dyDescent="0.25">
      <c r="A42" s="133"/>
      <c r="B42" s="1"/>
      <c r="C42" s="1"/>
      <c r="D42" s="2"/>
      <c r="E42" s="398">
        <f t="shared" si="16"/>
        <v>0</v>
      </c>
      <c r="F42" s="5"/>
      <c r="G42" s="111"/>
      <c r="H42" s="321">
        <f>IF(F42="j",D42/Allgemeines!$B$30*$C$29,G42)</f>
        <v>0</v>
      </c>
      <c r="I42" s="411">
        <f t="shared" si="17"/>
        <v>0</v>
      </c>
      <c r="J42" s="139">
        <f>IF(AND(F42&lt;&gt;"",B42="Rückspeisung eN",Allgemeines!$B$29&lt;=2028),$J$21,0)
+IF(AND(F42&lt;&gt;"",OR(B42="EEG-nvol",B42="KWKG",B42="Sonstige-nvol"),AND(OR(C42="&lt;= 2022",C42&lt;=2022),Allgemeines!$B$29&lt;=2025)),1,0)
+IF(AND(F42&lt;&gt;"",OR(B42="EEG-nvol",B42="KWKG",B42="Sonstige-nvol"),AND(OR(C42="&lt;= 2022",C42&lt;=2022),Allgemeines!$B$29&gt;=2026)),1-(Allgemeines!$B$29-2025)/4,0)
+IF(AND(F42&lt;&gt;"",OR(B42="EEG-vol",B42="Sonstige-vol"),OR(C42="&lt;= 2017",C42&lt;=2017),C42&gt;1900),MIN(1,MAX(0,1-(Allgemeines!$B$29-2017)/3)),0)</f>
        <v>0</v>
      </c>
      <c r="K42" s="139">
        <f t="shared" si="1"/>
        <v>0</v>
      </c>
      <c r="L42" s="138"/>
      <c r="M42" s="71" t="str">
        <f t="shared" si="2"/>
        <v/>
      </c>
      <c r="N42" s="402">
        <f t="shared" si="3"/>
        <v>0</v>
      </c>
      <c r="O42" s="403">
        <f t="shared" si="4"/>
        <v>0</v>
      </c>
      <c r="P42" s="404">
        <f t="shared" si="5"/>
        <v>0</v>
      </c>
      <c r="Q42" s="405">
        <f t="shared" si="6"/>
        <v>0</v>
      </c>
      <c r="R42" s="111"/>
      <c r="S42" s="321">
        <f>IF($F42="j",$D42/Allgemeines!$B$30*W$25,R42)*$K42</f>
        <v>0</v>
      </c>
      <c r="T42" s="406">
        <f t="shared" si="7"/>
        <v>0</v>
      </c>
      <c r="U42" s="399">
        <f t="shared" si="8"/>
        <v>0</v>
      </c>
      <c r="V42" s="405">
        <f t="shared" si="9"/>
        <v>0</v>
      </c>
      <c r="W42" s="558"/>
      <c r="X42" s="662">
        <f t="shared" si="10"/>
        <v>0</v>
      </c>
      <c r="Y42" s="663">
        <f t="shared" si="11"/>
        <v>0</v>
      </c>
      <c r="Z42" s="402">
        <f t="shared" si="12"/>
        <v>0</v>
      </c>
      <c r="AA42" s="408">
        <f t="shared" si="13"/>
        <v>0</v>
      </c>
      <c r="AB42" s="409">
        <f t="shared" si="18"/>
        <v>0</v>
      </c>
      <c r="AC42" s="402">
        <f t="shared" si="14"/>
        <v>0</v>
      </c>
      <c r="AD42" s="405">
        <f t="shared" si="15"/>
        <v>0</v>
      </c>
      <c r="AE42" s="412">
        <f t="shared" si="19"/>
        <v>0</v>
      </c>
    </row>
    <row r="43" spans="1:31" x14ac:dyDescent="0.25">
      <c r="A43" s="134"/>
      <c r="B43" s="1"/>
      <c r="C43" s="1"/>
      <c r="D43" s="2"/>
      <c r="E43" s="398">
        <f>D43*$C$14</f>
        <v>0</v>
      </c>
      <c r="F43" s="5"/>
      <c r="G43" s="111"/>
      <c r="H43" s="321">
        <f>IF(F43="j",D43/Allgemeines!$B$30*$C$29,G43)</f>
        <v>0</v>
      </c>
      <c r="I43" s="411">
        <f t="shared" si="17"/>
        <v>0</v>
      </c>
      <c r="J43" s="139">
        <f>IF(AND(F43&lt;&gt;"",B43="Rückspeisung eN",Allgemeines!$B$29&lt;=2028),$J$21,0)
+IF(AND(F43&lt;&gt;"",OR(B43="EEG-nvol",B43="KWKG",B43="Sonstige-nvol"),AND(OR(C43="&lt;= 2022",C43&lt;=2022),Allgemeines!$B$29&lt;=2025)),1,0)
+IF(AND(F43&lt;&gt;"",OR(B43="EEG-nvol",B43="KWKG",B43="Sonstige-nvol"),AND(OR(C43="&lt;= 2022",C43&lt;=2022),Allgemeines!$B$29&gt;=2026)),1-(Allgemeines!$B$29-2025)/4,0)
+IF(AND(F43&lt;&gt;"",OR(B43="EEG-vol",B43="Sonstige-vol"),OR(C43="&lt;= 2017",C43&lt;=2017),C43&gt;1900),MIN(1,MAX(0,1-(Allgemeines!$B$29-2017)/3)),0)</f>
        <v>0</v>
      </c>
      <c r="K43" s="139">
        <f t="shared" si="1"/>
        <v>0</v>
      </c>
      <c r="L43" s="138"/>
      <c r="M43" s="71" t="str">
        <f t="shared" si="2"/>
        <v/>
      </c>
      <c r="N43" s="402">
        <f t="shared" si="3"/>
        <v>0</v>
      </c>
      <c r="O43" s="403">
        <f t="shared" si="4"/>
        <v>0</v>
      </c>
      <c r="P43" s="404">
        <f t="shared" si="5"/>
        <v>0</v>
      </c>
      <c r="Q43" s="405">
        <f t="shared" si="6"/>
        <v>0</v>
      </c>
      <c r="R43" s="111"/>
      <c r="S43" s="321">
        <f>IF($F43="j",$D43/Allgemeines!$B$30*W$25,R43)*$K43</f>
        <v>0</v>
      </c>
      <c r="T43" s="406">
        <f t="shared" si="7"/>
        <v>0</v>
      </c>
      <c r="U43" s="399">
        <f t="shared" si="8"/>
        <v>0</v>
      </c>
      <c r="V43" s="405">
        <f t="shared" si="9"/>
        <v>0</v>
      </c>
      <c r="W43" s="558"/>
      <c r="X43" s="662">
        <f t="shared" si="10"/>
        <v>0</v>
      </c>
      <c r="Y43" s="663">
        <f t="shared" si="11"/>
        <v>0</v>
      </c>
      <c r="Z43" s="402">
        <f t="shared" si="12"/>
        <v>0</v>
      </c>
      <c r="AA43" s="408">
        <f t="shared" si="13"/>
        <v>0</v>
      </c>
      <c r="AB43" s="409">
        <f t="shared" si="18"/>
        <v>0</v>
      </c>
      <c r="AC43" s="402">
        <f t="shared" si="14"/>
        <v>0</v>
      </c>
      <c r="AD43" s="405">
        <f t="shared" si="15"/>
        <v>0</v>
      </c>
      <c r="AE43" s="412">
        <f t="shared" si="19"/>
        <v>0</v>
      </c>
    </row>
    <row r="44" spans="1:31" x14ac:dyDescent="0.25">
      <c r="A44" s="134"/>
      <c r="B44" s="1"/>
      <c r="C44" s="1"/>
      <c r="D44" s="2"/>
      <c r="E44" s="398">
        <f t="shared" si="16"/>
        <v>0</v>
      </c>
      <c r="F44" s="5"/>
      <c r="G44" s="111"/>
      <c r="H44" s="321">
        <f>IF(F44="j",D44/Allgemeines!$B$30*$C$29,G44)</f>
        <v>0</v>
      </c>
      <c r="I44" s="411">
        <f t="shared" si="17"/>
        <v>0</v>
      </c>
      <c r="J44" s="139">
        <f>IF(AND(F44&lt;&gt;"",B44="Rückspeisung eN",Allgemeines!$B$29&lt;=2028),$J$21,0)
+IF(AND(F44&lt;&gt;"",OR(B44="EEG-nvol",B44="KWKG",B44="Sonstige-nvol"),AND(OR(C44="&lt;= 2022",C44&lt;=2022),Allgemeines!$B$29&lt;=2025)),1,0)
+IF(AND(F44&lt;&gt;"",OR(B44="EEG-nvol",B44="KWKG",B44="Sonstige-nvol"),AND(OR(C44="&lt;= 2022",C44&lt;=2022),Allgemeines!$B$29&gt;=2026)),1-(Allgemeines!$B$29-2025)/4,0)
+IF(AND(F44&lt;&gt;"",OR(B44="EEG-vol",B44="Sonstige-vol"),OR(C44="&lt;= 2017",C44&lt;=2017),C44&gt;1900),MIN(1,MAX(0,1-(Allgemeines!$B$29-2017)/3)),0)</f>
        <v>0</v>
      </c>
      <c r="K44" s="139">
        <f t="shared" si="1"/>
        <v>0</v>
      </c>
      <c r="L44" s="138"/>
      <c r="M44" s="71" t="str">
        <f t="shared" si="2"/>
        <v/>
      </c>
      <c r="N44" s="402">
        <f t="shared" si="3"/>
        <v>0</v>
      </c>
      <c r="O44" s="403">
        <f t="shared" si="4"/>
        <v>0</v>
      </c>
      <c r="P44" s="404">
        <f t="shared" si="5"/>
        <v>0</v>
      </c>
      <c r="Q44" s="405">
        <f t="shared" si="6"/>
        <v>0</v>
      </c>
      <c r="R44" s="111"/>
      <c r="S44" s="321">
        <f>IF($F44="j",$D44/Allgemeines!$B$30*W$25,R44)*$K44</f>
        <v>0</v>
      </c>
      <c r="T44" s="406">
        <f t="shared" si="7"/>
        <v>0</v>
      </c>
      <c r="U44" s="399">
        <f t="shared" si="8"/>
        <v>0</v>
      </c>
      <c r="V44" s="405">
        <f t="shared" si="9"/>
        <v>0</v>
      </c>
      <c r="W44" s="558"/>
      <c r="X44" s="662">
        <f t="shared" si="10"/>
        <v>0</v>
      </c>
      <c r="Y44" s="663">
        <f t="shared" si="11"/>
        <v>0</v>
      </c>
      <c r="Z44" s="402">
        <f t="shared" si="12"/>
        <v>0</v>
      </c>
      <c r="AA44" s="408">
        <f t="shared" si="13"/>
        <v>0</v>
      </c>
      <c r="AB44" s="409">
        <f t="shared" si="18"/>
        <v>0</v>
      </c>
      <c r="AC44" s="402">
        <f t="shared" si="14"/>
        <v>0</v>
      </c>
      <c r="AD44" s="405">
        <f t="shared" si="15"/>
        <v>0</v>
      </c>
      <c r="AE44" s="412">
        <f t="shared" si="19"/>
        <v>0</v>
      </c>
    </row>
    <row r="45" spans="1:31" x14ac:dyDescent="0.25">
      <c r="A45" s="134"/>
      <c r="B45" s="1"/>
      <c r="C45" s="1"/>
      <c r="D45" s="2"/>
      <c r="E45" s="398">
        <f t="shared" si="16"/>
        <v>0</v>
      </c>
      <c r="F45" s="5"/>
      <c r="G45" s="111"/>
      <c r="H45" s="321">
        <f>IF(F45="j",D45/Allgemeines!$B$30*$C$29,G45)</f>
        <v>0</v>
      </c>
      <c r="I45" s="411">
        <f t="shared" si="17"/>
        <v>0</v>
      </c>
      <c r="J45" s="139">
        <f>IF(AND(F45&lt;&gt;"",B45="Rückspeisung eN",Allgemeines!$B$29&lt;=2028),$J$21,0)
+IF(AND(F45&lt;&gt;"",OR(B45="EEG-nvol",B45="KWKG",B45="Sonstige-nvol"),AND(OR(C45="&lt;= 2022",C45&lt;=2022),Allgemeines!$B$29&lt;=2025)),1,0)
+IF(AND(F45&lt;&gt;"",OR(B45="EEG-nvol",B45="KWKG",B45="Sonstige-nvol"),AND(OR(C45="&lt;= 2022",C45&lt;=2022),Allgemeines!$B$29&gt;=2026)),1-(Allgemeines!$B$29-2025)/4,0)
+IF(AND(F45&lt;&gt;"",OR(B45="EEG-vol",B45="Sonstige-vol"),OR(C45="&lt;= 2017",C45&lt;=2017),C45&gt;1900),MIN(1,MAX(0,1-(Allgemeines!$B$29-2017)/3)),0)</f>
        <v>0</v>
      </c>
      <c r="K45" s="139">
        <f t="shared" si="1"/>
        <v>0</v>
      </c>
      <c r="L45" s="138"/>
      <c r="M45" s="71" t="str">
        <f t="shared" si="2"/>
        <v/>
      </c>
      <c r="N45" s="402">
        <f t="shared" si="3"/>
        <v>0</v>
      </c>
      <c r="O45" s="403">
        <f t="shared" si="4"/>
        <v>0</v>
      </c>
      <c r="P45" s="404">
        <f t="shared" si="5"/>
        <v>0</v>
      </c>
      <c r="Q45" s="405">
        <f t="shared" si="6"/>
        <v>0</v>
      </c>
      <c r="R45" s="111"/>
      <c r="S45" s="321">
        <f>IF($F45="j",$D45/Allgemeines!$B$30*W$25,R45)*$K45</f>
        <v>0</v>
      </c>
      <c r="T45" s="406">
        <f t="shared" si="7"/>
        <v>0</v>
      </c>
      <c r="U45" s="399">
        <f t="shared" si="8"/>
        <v>0</v>
      </c>
      <c r="V45" s="405">
        <f t="shared" si="9"/>
        <v>0</v>
      </c>
      <c r="W45" s="558"/>
      <c r="X45" s="662">
        <f t="shared" si="10"/>
        <v>0</v>
      </c>
      <c r="Y45" s="663">
        <f t="shared" si="11"/>
        <v>0</v>
      </c>
      <c r="Z45" s="402">
        <f t="shared" si="12"/>
        <v>0</v>
      </c>
      <c r="AA45" s="408">
        <f t="shared" si="13"/>
        <v>0</v>
      </c>
      <c r="AB45" s="409">
        <f t="shared" si="18"/>
        <v>0</v>
      </c>
      <c r="AC45" s="402">
        <f t="shared" si="14"/>
        <v>0</v>
      </c>
      <c r="AD45" s="405">
        <f t="shared" si="15"/>
        <v>0</v>
      </c>
      <c r="AE45" s="412">
        <f t="shared" si="19"/>
        <v>0</v>
      </c>
    </row>
    <row r="46" spans="1:31" x14ac:dyDescent="0.25">
      <c r="A46" s="134"/>
      <c r="B46" s="1"/>
      <c r="C46" s="1"/>
      <c r="D46" s="2"/>
      <c r="E46" s="398">
        <f t="shared" si="16"/>
        <v>0</v>
      </c>
      <c r="F46" s="5"/>
      <c r="G46" s="111"/>
      <c r="H46" s="321">
        <f>IF(F46="j",D46/Allgemeines!$B$30*$C$29,G46)</f>
        <v>0</v>
      </c>
      <c r="I46" s="411">
        <f t="shared" si="17"/>
        <v>0</v>
      </c>
      <c r="J46" s="139">
        <f>IF(AND(F46&lt;&gt;"",B46="Rückspeisung eN",Allgemeines!$B$29&lt;=2028),$J$21,0)
+IF(AND(F46&lt;&gt;"",OR(B46="EEG-nvol",B46="KWKG",B46="Sonstige-nvol"),AND(OR(C46="&lt;= 2022",C46&lt;=2022),Allgemeines!$B$29&lt;=2025)),1,0)
+IF(AND(F46&lt;&gt;"",OR(B46="EEG-nvol",B46="KWKG",B46="Sonstige-nvol"),AND(OR(C46="&lt;= 2022",C46&lt;=2022),Allgemeines!$B$29&gt;=2026)),1-(Allgemeines!$B$29-2025)/4,0)
+IF(AND(F46&lt;&gt;"",OR(B46="EEG-vol",B46="Sonstige-vol"),OR(C46="&lt;= 2017",C46&lt;=2017),C46&gt;1900),MIN(1,MAX(0,1-(Allgemeines!$B$29-2017)/3)),0)</f>
        <v>0</v>
      </c>
      <c r="K46" s="139">
        <f t="shared" si="1"/>
        <v>0</v>
      </c>
      <c r="L46" s="138"/>
      <c r="M46" s="71" t="str">
        <f t="shared" si="2"/>
        <v/>
      </c>
      <c r="N46" s="402">
        <f t="shared" si="3"/>
        <v>0</v>
      </c>
      <c r="O46" s="403">
        <f t="shared" si="4"/>
        <v>0</v>
      </c>
      <c r="P46" s="404">
        <f t="shared" si="5"/>
        <v>0</v>
      </c>
      <c r="Q46" s="405">
        <f t="shared" si="6"/>
        <v>0</v>
      </c>
      <c r="R46" s="111"/>
      <c r="S46" s="321">
        <f>IF($F46="j",$D46/Allgemeines!$B$30*W$25,R46)*$K46</f>
        <v>0</v>
      </c>
      <c r="T46" s="406">
        <f t="shared" si="7"/>
        <v>0</v>
      </c>
      <c r="U46" s="399">
        <f t="shared" si="8"/>
        <v>0</v>
      </c>
      <c r="V46" s="405">
        <f t="shared" si="9"/>
        <v>0</v>
      </c>
      <c r="W46" s="558"/>
      <c r="X46" s="662">
        <f t="shared" si="10"/>
        <v>0</v>
      </c>
      <c r="Y46" s="663">
        <f t="shared" si="11"/>
        <v>0</v>
      </c>
      <c r="Z46" s="402">
        <f t="shared" si="12"/>
        <v>0</v>
      </c>
      <c r="AA46" s="408">
        <f t="shared" si="13"/>
        <v>0</v>
      </c>
      <c r="AB46" s="409">
        <f t="shared" si="18"/>
        <v>0</v>
      </c>
      <c r="AC46" s="402">
        <f t="shared" si="14"/>
        <v>0</v>
      </c>
      <c r="AD46" s="405">
        <f t="shared" si="15"/>
        <v>0</v>
      </c>
      <c r="AE46" s="412">
        <f t="shared" si="19"/>
        <v>0</v>
      </c>
    </row>
    <row r="47" spans="1:31" x14ac:dyDescent="0.25">
      <c r="A47" s="134"/>
      <c r="B47" s="1"/>
      <c r="C47" s="1"/>
      <c r="D47" s="2"/>
      <c r="E47" s="398">
        <f t="shared" si="16"/>
        <v>0</v>
      </c>
      <c r="F47" s="5"/>
      <c r="G47" s="111"/>
      <c r="H47" s="321">
        <f>IF(F47="j",D47/Allgemeines!$B$30*$C$29,G47)</f>
        <v>0</v>
      </c>
      <c r="I47" s="411">
        <f t="shared" si="17"/>
        <v>0</v>
      </c>
      <c r="J47" s="139">
        <f>IF(AND(F47&lt;&gt;"",B47="Rückspeisung eN",Allgemeines!$B$29&lt;=2028),$J$21,0)
+IF(AND(F47&lt;&gt;"",OR(B47="EEG-nvol",B47="KWKG",B47="Sonstige-nvol"),AND(OR(C47="&lt;= 2022",C47&lt;=2022),Allgemeines!$B$29&lt;=2025)),1,0)
+IF(AND(F47&lt;&gt;"",OR(B47="EEG-nvol",B47="KWKG",B47="Sonstige-nvol"),AND(OR(C47="&lt;= 2022",C47&lt;=2022),Allgemeines!$B$29&gt;=2026)),1-(Allgemeines!$B$29-2025)/4,0)
+IF(AND(F47&lt;&gt;"",OR(B47="EEG-vol",B47="Sonstige-vol"),OR(C47="&lt;= 2017",C47&lt;=2017),C47&gt;1900),MIN(1,MAX(0,1-(Allgemeines!$B$29-2017)/3)),0)</f>
        <v>0</v>
      </c>
      <c r="K47" s="139">
        <f t="shared" si="1"/>
        <v>0</v>
      </c>
      <c r="L47" s="138"/>
      <c r="M47" s="71" t="str">
        <f t="shared" si="2"/>
        <v/>
      </c>
      <c r="N47" s="402">
        <f t="shared" si="3"/>
        <v>0</v>
      </c>
      <c r="O47" s="403">
        <f t="shared" si="4"/>
        <v>0</v>
      </c>
      <c r="P47" s="404">
        <f t="shared" si="5"/>
        <v>0</v>
      </c>
      <c r="Q47" s="405">
        <f t="shared" si="6"/>
        <v>0</v>
      </c>
      <c r="R47" s="111"/>
      <c r="S47" s="321">
        <f>IF($F47="j",$D47/Allgemeines!$B$30*W$25,R47)*$K47</f>
        <v>0</v>
      </c>
      <c r="T47" s="406">
        <f t="shared" si="7"/>
        <v>0</v>
      </c>
      <c r="U47" s="399">
        <f t="shared" si="8"/>
        <v>0</v>
      </c>
      <c r="V47" s="405">
        <f t="shared" si="9"/>
        <v>0</v>
      </c>
      <c r="W47" s="558"/>
      <c r="X47" s="662">
        <f t="shared" si="10"/>
        <v>0</v>
      </c>
      <c r="Y47" s="663">
        <f t="shared" si="11"/>
        <v>0</v>
      </c>
      <c r="Z47" s="402">
        <f t="shared" si="12"/>
        <v>0</v>
      </c>
      <c r="AA47" s="408">
        <f t="shared" si="13"/>
        <v>0</v>
      </c>
      <c r="AB47" s="409">
        <f t="shared" si="18"/>
        <v>0</v>
      </c>
      <c r="AC47" s="402">
        <f t="shared" si="14"/>
        <v>0</v>
      </c>
      <c r="AD47" s="405">
        <f t="shared" si="15"/>
        <v>0</v>
      </c>
      <c r="AE47" s="412">
        <f t="shared" si="19"/>
        <v>0</v>
      </c>
    </row>
    <row r="48" spans="1:31" x14ac:dyDescent="0.25">
      <c r="A48" s="134"/>
      <c r="B48" s="1"/>
      <c r="C48" s="1"/>
      <c r="D48" s="2"/>
      <c r="E48" s="398">
        <f t="shared" si="16"/>
        <v>0</v>
      </c>
      <c r="F48" s="5"/>
      <c r="G48" s="111"/>
      <c r="H48" s="321">
        <f>IF(F48="j",D48/Allgemeines!$B$30*$C$29,G48)</f>
        <v>0</v>
      </c>
      <c r="I48" s="411">
        <f t="shared" si="17"/>
        <v>0</v>
      </c>
      <c r="J48" s="139">
        <f>IF(AND(F48&lt;&gt;"",B48="Rückspeisung eN",Allgemeines!$B$29&lt;=2028),$J$21,0)
+IF(AND(F48&lt;&gt;"",OR(B48="EEG-nvol",B48="KWKG",B48="Sonstige-nvol"),AND(OR(C48="&lt;= 2022",C48&lt;=2022),Allgemeines!$B$29&lt;=2025)),1,0)
+IF(AND(F48&lt;&gt;"",OR(B48="EEG-nvol",B48="KWKG",B48="Sonstige-nvol"),AND(OR(C48="&lt;= 2022",C48&lt;=2022),Allgemeines!$B$29&gt;=2026)),1-(Allgemeines!$B$29-2025)/4,0)
+IF(AND(F48&lt;&gt;"",OR(B48="EEG-vol",B48="Sonstige-vol"),OR(C48="&lt;= 2017",C48&lt;=2017),C48&gt;1900),MIN(1,MAX(0,1-(Allgemeines!$B$29-2017)/3)),0)</f>
        <v>0</v>
      </c>
      <c r="K48" s="139">
        <f t="shared" si="1"/>
        <v>0</v>
      </c>
      <c r="L48" s="138"/>
      <c r="M48" s="71" t="str">
        <f t="shared" si="2"/>
        <v/>
      </c>
      <c r="N48" s="402">
        <f t="shared" si="3"/>
        <v>0</v>
      </c>
      <c r="O48" s="403">
        <f t="shared" si="4"/>
        <v>0</v>
      </c>
      <c r="P48" s="404">
        <f t="shared" si="5"/>
        <v>0</v>
      </c>
      <c r="Q48" s="405">
        <f t="shared" si="6"/>
        <v>0</v>
      </c>
      <c r="R48" s="111"/>
      <c r="S48" s="321">
        <f>IF($F48="j",$D48/Allgemeines!$B$30*W$25,R48)*$K48</f>
        <v>0</v>
      </c>
      <c r="T48" s="406">
        <f t="shared" si="7"/>
        <v>0</v>
      </c>
      <c r="U48" s="399">
        <f t="shared" si="8"/>
        <v>0</v>
      </c>
      <c r="V48" s="405">
        <f t="shared" si="9"/>
        <v>0</v>
      </c>
      <c r="W48" s="558"/>
      <c r="X48" s="662">
        <f t="shared" si="10"/>
        <v>0</v>
      </c>
      <c r="Y48" s="663">
        <f t="shared" si="11"/>
        <v>0</v>
      </c>
      <c r="Z48" s="402">
        <f t="shared" si="12"/>
        <v>0</v>
      </c>
      <c r="AA48" s="408">
        <f t="shared" si="13"/>
        <v>0</v>
      </c>
      <c r="AB48" s="409">
        <f t="shared" si="18"/>
        <v>0</v>
      </c>
      <c r="AC48" s="402">
        <f t="shared" si="14"/>
        <v>0</v>
      </c>
      <c r="AD48" s="405">
        <f t="shared" si="15"/>
        <v>0</v>
      </c>
      <c r="AE48" s="412">
        <f t="shared" si="19"/>
        <v>0</v>
      </c>
    </row>
    <row r="49" spans="1:31" x14ac:dyDescent="0.25">
      <c r="A49" s="151"/>
      <c r="B49" s="1"/>
      <c r="C49" s="1"/>
      <c r="D49" s="2"/>
      <c r="E49" s="398">
        <f t="shared" si="16"/>
        <v>0</v>
      </c>
      <c r="F49" s="5"/>
      <c r="G49" s="111"/>
      <c r="H49" s="321">
        <f>IF(F49="j",D49/Allgemeines!$B$30*$C$29,G49)</f>
        <v>0</v>
      </c>
      <c r="I49" s="411">
        <f t="shared" si="17"/>
        <v>0</v>
      </c>
      <c r="J49" s="140">
        <f>IF(AND(F49&lt;&gt;"",B49="Rückspeisung eN",Allgemeines!$B$29&lt;=2028),$J$21,0)
+IF(AND(F49&lt;&gt;"",OR(B49="EEG-nvol",B49="KWKG",B49="Sonstige-nvol"),AND(OR(C49="&lt;= 2022",C49&lt;=2022),Allgemeines!$B$29&lt;=2025)),1,0)
+IF(AND(F49&lt;&gt;"",OR(B49="EEG-nvol",B49="KWKG",B49="Sonstige-nvol"),AND(OR(C49="&lt;= 2022",C49&lt;=2022),Allgemeines!$B$29&gt;=2026)),1-(Allgemeines!$B$29-2025)/4,0)
+IF(AND(F49&lt;&gt;"",OR(B49="EEG-vol",B49="Sonstige-vol"),OR(C49="&lt;= 2017",C49&lt;=2017),C49&gt;1900),MIN(1,MAX(0,1-(Allgemeines!$B$29-2017)/3)),0)</f>
        <v>0</v>
      </c>
      <c r="K49" s="140">
        <f t="shared" si="1"/>
        <v>0</v>
      </c>
      <c r="L49" s="138"/>
      <c r="M49" s="413" t="str">
        <f t="shared" si="2"/>
        <v/>
      </c>
      <c r="N49" s="402">
        <f t="shared" si="3"/>
        <v>0</v>
      </c>
      <c r="O49" s="403">
        <f t="shared" si="4"/>
        <v>0</v>
      </c>
      <c r="P49" s="404">
        <f t="shared" si="5"/>
        <v>0</v>
      </c>
      <c r="Q49" s="405">
        <f t="shared" si="6"/>
        <v>0</v>
      </c>
      <c r="R49" s="111"/>
      <c r="S49" s="321">
        <f>IF($F49="j",$D49/Allgemeines!$B$30*W$25,R49)*$K49</f>
        <v>0</v>
      </c>
      <c r="T49" s="406">
        <f t="shared" si="7"/>
        <v>0</v>
      </c>
      <c r="U49" s="399">
        <f t="shared" si="8"/>
        <v>0</v>
      </c>
      <c r="V49" s="405">
        <f t="shared" si="9"/>
        <v>0</v>
      </c>
      <c r="W49" s="558"/>
      <c r="X49" s="662">
        <f t="shared" si="10"/>
        <v>0</v>
      </c>
      <c r="Y49" s="663">
        <f t="shared" si="11"/>
        <v>0</v>
      </c>
      <c r="Z49" s="402">
        <f t="shared" si="12"/>
        <v>0</v>
      </c>
      <c r="AA49" s="408">
        <f t="shared" si="13"/>
        <v>0</v>
      </c>
      <c r="AB49" s="409">
        <f t="shared" si="18"/>
        <v>0</v>
      </c>
      <c r="AC49" s="402">
        <f t="shared" si="14"/>
        <v>0</v>
      </c>
      <c r="AD49" s="405">
        <f t="shared" si="15"/>
        <v>0</v>
      </c>
      <c r="AE49" s="412">
        <f t="shared" si="19"/>
        <v>0</v>
      </c>
    </row>
    <row r="50" spans="1:31" ht="15.75" thickBot="1" x14ac:dyDescent="0.3">
      <c r="A50" s="176"/>
      <c r="B50" s="66"/>
      <c r="C50" s="66"/>
      <c r="D50" s="66"/>
      <c r="E50" s="414"/>
      <c r="F50" s="72"/>
      <c r="G50" s="321"/>
      <c r="H50" s="321"/>
      <c r="I50" s="415"/>
      <c r="J50" s="415"/>
      <c r="K50" s="415"/>
      <c r="L50" s="415"/>
      <c r="M50" s="416"/>
      <c r="N50" s="70"/>
      <c r="O50" s="417"/>
      <c r="P50" s="417"/>
      <c r="Q50" s="417"/>
      <c r="R50" s="417"/>
      <c r="S50" s="417"/>
      <c r="T50" s="417"/>
      <c r="U50" s="417"/>
      <c r="V50" s="417"/>
      <c r="W50" s="417"/>
      <c r="X50" s="417"/>
      <c r="Y50" s="417"/>
      <c r="Z50" s="417"/>
      <c r="AA50" s="417"/>
      <c r="AB50" s="417"/>
      <c r="AC50" s="417"/>
      <c r="AD50" s="417"/>
    </row>
    <row r="51" spans="1:31" ht="15.75" thickBot="1" x14ac:dyDescent="0.3">
      <c r="A51" s="418" t="s">
        <v>377</v>
      </c>
      <c r="B51" s="419"/>
      <c r="C51" s="419"/>
      <c r="D51" s="419"/>
      <c r="E51" s="419"/>
      <c r="F51" s="419"/>
      <c r="G51" s="420"/>
      <c r="H51" s="420"/>
      <c r="I51" s="420"/>
      <c r="J51" s="420"/>
      <c r="K51" s="420"/>
      <c r="L51" s="420"/>
      <c r="M51" s="421"/>
      <c r="N51" s="419"/>
      <c r="O51" s="419"/>
      <c r="P51" s="419"/>
      <c r="Q51" s="419"/>
      <c r="R51" s="419"/>
      <c r="S51" s="420"/>
      <c r="T51" s="419"/>
      <c r="U51" s="420"/>
      <c r="V51" s="419"/>
      <c r="W51" s="419"/>
      <c r="X51" s="419"/>
      <c r="Y51" s="419"/>
      <c r="Z51" s="419"/>
      <c r="AA51" s="419"/>
      <c r="AB51" s="419"/>
      <c r="AC51" s="419"/>
      <c r="AD51" s="419"/>
      <c r="AE51" s="422"/>
    </row>
    <row r="52" spans="1:31" s="69" customFormat="1" ht="15" hidden="1" customHeight="1" thickBot="1" x14ac:dyDescent="0.3">
      <c r="A52" s="423" t="s">
        <v>261</v>
      </c>
      <c r="B52" s="372" t="s">
        <v>262</v>
      </c>
      <c r="C52" s="372" t="s">
        <v>263</v>
      </c>
      <c r="D52" s="372" t="s">
        <v>264</v>
      </c>
      <c r="E52" s="373" t="s">
        <v>265</v>
      </c>
      <c r="F52" s="374" t="s">
        <v>266</v>
      </c>
      <c r="G52" s="372" t="s">
        <v>409</v>
      </c>
      <c r="H52" s="375" t="s">
        <v>410</v>
      </c>
      <c r="I52" s="424" t="s">
        <v>267</v>
      </c>
      <c r="J52" s="425" t="s">
        <v>268</v>
      </c>
      <c r="K52" s="425" t="s">
        <v>269</v>
      </c>
      <c r="L52" s="425" t="s">
        <v>270</v>
      </c>
      <c r="M52" s="425" t="s">
        <v>271</v>
      </c>
      <c r="N52" s="379" t="s">
        <v>272</v>
      </c>
      <c r="O52" s="380" t="s">
        <v>273</v>
      </c>
      <c r="P52" s="381" t="s">
        <v>274</v>
      </c>
      <c r="Q52" s="382" t="s">
        <v>275</v>
      </c>
      <c r="R52" s="372" t="s">
        <v>276</v>
      </c>
      <c r="S52" s="372" t="s">
        <v>277</v>
      </c>
      <c r="T52" s="383" t="s">
        <v>278</v>
      </c>
      <c r="U52" s="155" t="s">
        <v>319</v>
      </c>
      <c r="V52" s="382" t="s">
        <v>320</v>
      </c>
      <c r="W52" s="379" t="s">
        <v>438</v>
      </c>
      <c r="X52" s="379" t="s">
        <v>327</v>
      </c>
      <c r="Y52" s="380" t="s">
        <v>339</v>
      </c>
      <c r="Z52" s="379" t="s">
        <v>340</v>
      </c>
      <c r="AA52" s="379" t="s">
        <v>341</v>
      </c>
      <c r="AB52" s="384" t="s">
        <v>342</v>
      </c>
      <c r="AC52" s="379" t="s">
        <v>343</v>
      </c>
      <c r="AD52" s="382" t="s">
        <v>344</v>
      </c>
      <c r="AE52" s="380" t="s">
        <v>345</v>
      </c>
    </row>
    <row r="53" spans="1:31" x14ac:dyDescent="0.25">
      <c r="A53" s="152"/>
      <c r="B53" s="1"/>
      <c r="C53" s="546"/>
      <c r="D53" s="2"/>
      <c r="E53" s="398">
        <f t="shared" ref="E53:E64" si="20">D53*$C$14</f>
        <v>0</v>
      </c>
      <c r="F53" s="426" t="str">
        <f t="shared" ref="F53:F64" si="21">"j"</f>
        <v>j</v>
      </c>
      <c r="G53" s="427"/>
      <c r="H53" s="321">
        <f>IF(F53="j",D53/Allgemeines!$B$30*$C$30,G53)</f>
        <v>0</v>
      </c>
      <c r="I53" s="411">
        <f t="shared" ref="I53:I64" si="22">H53*$C$31</f>
        <v>0</v>
      </c>
      <c r="J53" s="139">
        <f>IF(AND(F53&lt;&gt;"",B53="Rückspeisung eN",Allgemeines!$B$29&lt;=2028),$J$21,0)
+IF(AND(F53&lt;&gt;"",OR(B53="EEG-nvol",B53="KWKG",B53="Sonstige-nvol"),AND(OR(C53="&lt;= 2022",C53&lt;=2022),Allgemeines!$B$29&lt;=2025)),1,0)
+IF(AND(F53&lt;&gt;"",OR(B53="EEG-nvol",B53="KWKG",B53="Sonstige-nvol"),AND(OR(C53="&lt;= 2022",C53&lt;=2022),Allgemeines!$B$29&gt;=2026)),MIN(1,MAX(0,1-(Allgemeines!$B$29-2025)/4)),0)
+IF(AND(F53&lt;&gt;"",OR(B53="EEG-vol",B53="Sonstige-vol"),OR(C53="&lt;= 2017",C53&lt;=2017),C53&gt;1900),MIN(1,MAX(0,1-(Allgemeines!$B$29-2017)/3)),0)</f>
        <v>0</v>
      </c>
      <c r="K53" s="139">
        <f t="shared" ref="K53:K64" si="23">IF(B53="Rückspeisung eN",$K$21,J53)</f>
        <v>0</v>
      </c>
      <c r="L53" s="156"/>
      <c r="M53" s="413" t="str">
        <f t="shared" ref="M53:M64" si="24">IF(MAX($AE53,$AB53)&gt;0,
IF($AE53&lt;$AB53,"R","A"),"")</f>
        <v/>
      </c>
      <c r="N53" s="407">
        <f t="shared" ref="N53:N64" si="25">IF($AE53&lt;$AB53,AC53,Z53)</f>
        <v>0</v>
      </c>
      <c r="O53" s="428"/>
      <c r="P53" s="404">
        <f t="shared" ref="P53:P64" si="26">D53*J53</f>
        <v>0</v>
      </c>
      <c r="Q53" s="405">
        <f t="shared" ref="Q53:Q64" si="27">IF($P$69&gt;0,$V$15*P53/$P$69,0)</f>
        <v>0</v>
      </c>
      <c r="R53" s="429"/>
      <c r="S53" s="399">
        <f>IF($F53="j",$D53/Allgemeines!$B$30*W$26,R53)*$K53</f>
        <v>0</v>
      </c>
      <c r="T53" s="406">
        <f t="shared" ref="T53:T64" si="28">H53*K53</f>
        <v>0</v>
      </c>
      <c r="U53" s="399">
        <f t="shared" ref="U53:U64" si="29">CHOOSE(RIGHT(U$35,1),P53,S53,T53)</f>
        <v>0</v>
      </c>
      <c r="V53" s="430"/>
      <c r="W53" s="558"/>
      <c r="X53" s="664">
        <f t="shared" ref="X53:X64" si="30">N53+Q53</f>
        <v>0</v>
      </c>
      <c r="Y53" s="673"/>
      <c r="Z53" s="407">
        <f t="shared" ref="Z53:Z64" si="31">IF(L53&lt;&gt;0,E53*M$27/100*$J53,0)</f>
        <v>0</v>
      </c>
      <c r="AA53" s="431"/>
      <c r="AB53" s="432">
        <f t="shared" ref="AB53:AB64" si="32">Z53+AA53</f>
        <v>0</v>
      </c>
      <c r="AC53" s="407">
        <f t="shared" ref="AC53:AC64" si="33">IF(L53&lt;&gt;"",E53*IFERROR(VLOOKUP(L53,$L$28:$N$32,2,FALSE),0)/100*$J53,0)</f>
        <v>0</v>
      </c>
      <c r="AD53" s="431"/>
      <c r="AE53" s="433">
        <f t="shared" ref="AE53:AE64" si="34">AC53+AD53</f>
        <v>0</v>
      </c>
    </row>
    <row r="54" spans="1:31" x14ac:dyDescent="0.25">
      <c r="A54" s="152"/>
      <c r="B54" s="1"/>
      <c r="C54" s="546"/>
      <c r="D54" s="2"/>
      <c r="E54" s="398">
        <f t="shared" si="20"/>
        <v>0</v>
      </c>
      <c r="F54" s="426" t="str">
        <f t="shared" si="21"/>
        <v>j</v>
      </c>
      <c r="G54" s="427"/>
      <c r="H54" s="321">
        <f>IF(F54="j",D54/Allgemeines!$B$30*$C$30,G54)</f>
        <v>0</v>
      </c>
      <c r="I54" s="411">
        <f t="shared" si="22"/>
        <v>0</v>
      </c>
      <c r="J54" s="139">
        <f>IF(AND(F54&lt;&gt;"",B54="Rückspeisung eN",Allgemeines!$B$29&lt;=2028),$J$21,0)
+IF(AND(F54&lt;&gt;"",OR(B54="EEG-nvol",B54="KWKG",B54="Sonstige-nvol"),AND(OR(C54="&lt;= 2022",C54&lt;=2022),Allgemeines!$B$29&lt;=2025)),1,0)
+IF(AND(F54&lt;&gt;"",OR(B54="EEG-nvol",B54="KWKG",B54="Sonstige-nvol"),AND(OR(C54="&lt;= 2022",C54&lt;=2022),Allgemeines!$B$29&gt;=2026)),MIN(1,MAX(0,1-(Allgemeines!$B$29-2025)/4)),0)
+IF(AND(F54&lt;&gt;"",OR(B54="EEG-vol",B54="Sonstige-vol"),OR(C54="&lt;= 2017",C54&lt;=2017),C54&gt;1900),MIN(1,MAX(0,1-(Allgemeines!$B$29-2017)/3)),0)</f>
        <v>0</v>
      </c>
      <c r="K54" s="140">
        <f t="shared" si="23"/>
        <v>0</v>
      </c>
      <c r="L54" s="156"/>
      <c r="M54" s="413" t="str">
        <f t="shared" si="24"/>
        <v/>
      </c>
      <c r="N54" s="407">
        <f t="shared" si="25"/>
        <v>0</v>
      </c>
      <c r="O54" s="428"/>
      <c r="P54" s="404">
        <f t="shared" si="26"/>
        <v>0</v>
      </c>
      <c r="Q54" s="405">
        <f t="shared" si="27"/>
        <v>0</v>
      </c>
      <c r="R54" s="429"/>
      <c r="S54" s="399">
        <f>IF($F54="j",$D54/Allgemeines!$B$30*W$26,R54)*$K54</f>
        <v>0</v>
      </c>
      <c r="T54" s="406">
        <f t="shared" si="28"/>
        <v>0</v>
      </c>
      <c r="U54" s="399">
        <f t="shared" si="29"/>
        <v>0</v>
      </c>
      <c r="V54" s="430"/>
      <c r="W54" s="558"/>
      <c r="X54" s="664">
        <f t="shared" si="30"/>
        <v>0</v>
      </c>
      <c r="Y54" s="673"/>
      <c r="Z54" s="407">
        <f t="shared" si="31"/>
        <v>0</v>
      </c>
      <c r="AA54" s="431"/>
      <c r="AB54" s="432">
        <f t="shared" si="32"/>
        <v>0</v>
      </c>
      <c r="AC54" s="407">
        <f t="shared" si="33"/>
        <v>0</v>
      </c>
      <c r="AD54" s="431"/>
      <c r="AE54" s="433">
        <f t="shared" si="34"/>
        <v>0</v>
      </c>
    </row>
    <row r="55" spans="1:31" x14ac:dyDescent="0.25">
      <c r="A55" s="152"/>
      <c r="B55" s="1"/>
      <c r="C55" s="546"/>
      <c r="D55" s="2"/>
      <c r="E55" s="398">
        <f t="shared" si="20"/>
        <v>0</v>
      </c>
      <c r="F55" s="426" t="str">
        <f t="shared" si="21"/>
        <v>j</v>
      </c>
      <c r="G55" s="427"/>
      <c r="H55" s="321">
        <f>IF(F55="j",D55/Allgemeines!$B$30*$C$30,G55)</f>
        <v>0</v>
      </c>
      <c r="I55" s="411">
        <f t="shared" si="22"/>
        <v>0</v>
      </c>
      <c r="J55" s="139">
        <f>IF(AND(F55&lt;&gt;"",B55="Rückspeisung eN",Allgemeines!$B$29&lt;=2028),$J$21,0)
+IF(AND(F55&lt;&gt;"",OR(B55="EEG-nvol",B55="KWKG",B55="Sonstige-nvol"),AND(OR(C55="&lt;= 2022",C55&lt;=2022),Allgemeines!$B$29&lt;=2025)),1,0)
+IF(AND(F55&lt;&gt;"",OR(B55="EEG-nvol",B55="KWKG",B55="Sonstige-nvol"),AND(OR(C55="&lt;= 2022",C55&lt;=2022),Allgemeines!$B$29&gt;=2026)),MIN(1,MAX(0,1-(Allgemeines!$B$29-2025)/4)),0)
+IF(AND(F55&lt;&gt;"",OR(B55="EEG-vol",B55="Sonstige-vol"),OR(C55="&lt;= 2017",C55&lt;=2017),C55&gt;1900),MIN(1,MAX(0,1-(Allgemeines!$B$29-2017)/3)),0)</f>
        <v>0</v>
      </c>
      <c r="K55" s="140">
        <f t="shared" si="23"/>
        <v>0</v>
      </c>
      <c r="L55" s="156"/>
      <c r="M55" s="413" t="str">
        <f t="shared" si="24"/>
        <v/>
      </c>
      <c r="N55" s="407">
        <f t="shared" si="25"/>
        <v>0</v>
      </c>
      <c r="O55" s="428"/>
      <c r="P55" s="404">
        <f t="shared" si="26"/>
        <v>0</v>
      </c>
      <c r="Q55" s="405">
        <f t="shared" si="27"/>
        <v>0</v>
      </c>
      <c r="R55" s="429"/>
      <c r="S55" s="399">
        <f>IF($F55="j",$D55/Allgemeines!$B$30*W$26,R55)*$K55</f>
        <v>0</v>
      </c>
      <c r="T55" s="406">
        <f t="shared" si="28"/>
        <v>0</v>
      </c>
      <c r="U55" s="399">
        <f t="shared" si="29"/>
        <v>0</v>
      </c>
      <c r="V55" s="430"/>
      <c r="W55" s="558"/>
      <c r="X55" s="664">
        <f t="shared" si="30"/>
        <v>0</v>
      </c>
      <c r="Y55" s="673"/>
      <c r="Z55" s="407">
        <f t="shared" si="31"/>
        <v>0</v>
      </c>
      <c r="AA55" s="431"/>
      <c r="AB55" s="432">
        <f t="shared" si="32"/>
        <v>0</v>
      </c>
      <c r="AC55" s="407">
        <f t="shared" si="33"/>
        <v>0</v>
      </c>
      <c r="AD55" s="431"/>
      <c r="AE55" s="433">
        <f t="shared" si="34"/>
        <v>0</v>
      </c>
    </row>
    <row r="56" spans="1:31" x14ac:dyDescent="0.25">
      <c r="A56" s="152"/>
      <c r="B56" s="1"/>
      <c r="C56" s="546"/>
      <c r="D56" s="2"/>
      <c r="E56" s="398">
        <f t="shared" si="20"/>
        <v>0</v>
      </c>
      <c r="F56" s="426" t="str">
        <f t="shared" si="21"/>
        <v>j</v>
      </c>
      <c r="G56" s="427"/>
      <c r="H56" s="321">
        <f>IF(F56="j",D56/Allgemeines!$B$30*$C$30,G56)</f>
        <v>0</v>
      </c>
      <c r="I56" s="411">
        <f t="shared" si="22"/>
        <v>0</v>
      </c>
      <c r="J56" s="139">
        <f>IF(AND(F56&lt;&gt;"",B56="Rückspeisung eN",Allgemeines!$B$29&lt;=2028),$J$21,0)
+IF(AND(F56&lt;&gt;"",OR(B56="EEG-nvol",B56="KWKG",B56="Sonstige-nvol"),AND(OR(C56="&lt;= 2022",C56&lt;=2022),Allgemeines!$B$29&lt;=2025)),1,0)
+IF(AND(F56&lt;&gt;"",OR(B56="EEG-nvol",B56="KWKG",B56="Sonstige-nvol"),AND(OR(C56="&lt;= 2022",C56&lt;=2022),Allgemeines!$B$29&gt;=2026)),MIN(1,MAX(0,1-(Allgemeines!$B$29-2025)/4)),0)
+IF(AND(F56&lt;&gt;"",OR(B56="EEG-vol",B56="Sonstige-vol"),OR(C56="&lt;= 2017",C56&lt;=2017),C56&gt;1900),MIN(1,MAX(0,1-(Allgemeines!$B$29-2017)/3)),0)</f>
        <v>0</v>
      </c>
      <c r="K56" s="140">
        <f t="shared" si="23"/>
        <v>0</v>
      </c>
      <c r="L56" s="156"/>
      <c r="M56" s="413" t="str">
        <f t="shared" si="24"/>
        <v/>
      </c>
      <c r="N56" s="407">
        <f t="shared" si="25"/>
        <v>0</v>
      </c>
      <c r="O56" s="428"/>
      <c r="P56" s="404">
        <f t="shared" si="26"/>
        <v>0</v>
      </c>
      <c r="Q56" s="405">
        <f t="shared" si="27"/>
        <v>0</v>
      </c>
      <c r="R56" s="429"/>
      <c r="S56" s="399">
        <f>IF($F56="j",$D56/Allgemeines!$B$30*W$26,R56)*$K56</f>
        <v>0</v>
      </c>
      <c r="T56" s="406">
        <f t="shared" si="28"/>
        <v>0</v>
      </c>
      <c r="U56" s="399">
        <f t="shared" si="29"/>
        <v>0</v>
      </c>
      <c r="V56" s="430"/>
      <c r="W56" s="558"/>
      <c r="X56" s="664">
        <f t="shared" si="30"/>
        <v>0</v>
      </c>
      <c r="Y56" s="673"/>
      <c r="Z56" s="407">
        <f t="shared" si="31"/>
        <v>0</v>
      </c>
      <c r="AA56" s="431"/>
      <c r="AB56" s="432">
        <f t="shared" si="32"/>
        <v>0</v>
      </c>
      <c r="AC56" s="407">
        <f t="shared" si="33"/>
        <v>0</v>
      </c>
      <c r="AD56" s="431"/>
      <c r="AE56" s="433">
        <f t="shared" si="34"/>
        <v>0</v>
      </c>
    </row>
    <row r="57" spans="1:31" x14ac:dyDescent="0.25">
      <c r="A57" s="152"/>
      <c r="B57" s="1"/>
      <c r="C57" s="546"/>
      <c r="D57" s="2"/>
      <c r="E57" s="398">
        <f t="shared" si="20"/>
        <v>0</v>
      </c>
      <c r="F57" s="426" t="str">
        <f t="shared" si="21"/>
        <v>j</v>
      </c>
      <c r="G57" s="427"/>
      <c r="H57" s="321">
        <f>IF(F57="j",D57/Allgemeines!$B$30*$C$30,G57)</f>
        <v>0</v>
      </c>
      <c r="I57" s="411">
        <f t="shared" si="22"/>
        <v>0</v>
      </c>
      <c r="J57" s="139">
        <f>IF(AND(F57&lt;&gt;"",B57="Rückspeisung eN",Allgemeines!$B$29&lt;=2028),$J$21,0)
+IF(AND(F57&lt;&gt;"",OR(B57="EEG-nvol",B57="KWKG",B57="Sonstige-nvol"),AND(OR(C57="&lt;= 2022",C57&lt;=2022),Allgemeines!$B$29&lt;=2025)),1,0)
+IF(AND(F57&lt;&gt;"",OR(B57="EEG-nvol",B57="KWKG",B57="Sonstige-nvol"),AND(OR(C57="&lt;= 2022",C57&lt;=2022),Allgemeines!$B$29&gt;=2026)),MIN(1,MAX(0,1-(Allgemeines!$B$29-2025)/4)),0)
+IF(AND(F57&lt;&gt;"",OR(B57="EEG-vol",B57="Sonstige-vol"),OR(C57="&lt;= 2017",C57&lt;=2017),C57&gt;1900),MIN(1,MAX(0,1-(Allgemeines!$B$29-2017)/3)),0)</f>
        <v>0</v>
      </c>
      <c r="K57" s="140">
        <f t="shared" si="23"/>
        <v>0</v>
      </c>
      <c r="L57" s="156"/>
      <c r="M57" s="413" t="str">
        <f t="shared" si="24"/>
        <v/>
      </c>
      <c r="N57" s="407">
        <f t="shared" si="25"/>
        <v>0</v>
      </c>
      <c r="O57" s="428"/>
      <c r="P57" s="404">
        <f t="shared" si="26"/>
        <v>0</v>
      </c>
      <c r="Q57" s="405">
        <f t="shared" si="27"/>
        <v>0</v>
      </c>
      <c r="R57" s="429"/>
      <c r="S57" s="399">
        <f>IF($F57="j",$D57/Allgemeines!$B$30*W$26,R57)*$K57</f>
        <v>0</v>
      </c>
      <c r="T57" s="406">
        <f t="shared" si="28"/>
        <v>0</v>
      </c>
      <c r="U57" s="399">
        <f t="shared" si="29"/>
        <v>0</v>
      </c>
      <c r="V57" s="430"/>
      <c r="W57" s="558"/>
      <c r="X57" s="664">
        <f t="shared" si="30"/>
        <v>0</v>
      </c>
      <c r="Y57" s="673"/>
      <c r="Z57" s="407">
        <f t="shared" si="31"/>
        <v>0</v>
      </c>
      <c r="AA57" s="431"/>
      <c r="AB57" s="432">
        <f t="shared" si="32"/>
        <v>0</v>
      </c>
      <c r="AC57" s="407">
        <f t="shared" si="33"/>
        <v>0</v>
      </c>
      <c r="AD57" s="431"/>
      <c r="AE57" s="433">
        <f t="shared" si="34"/>
        <v>0</v>
      </c>
    </row>
    <row r="58" spans="1:31" x14ac:dyDescent="0.25">
      <c r="A58" s="152"/>
      <c r="B58" s="1"/>
      <c r="C58" s="546"/>
      <c r="D58" s="2"/>
      <c r="E58" s="398">
        <f t="shared" si="20"/>
        <v>0</v>
      </c>
      <c r="F58" s="426" t="str">
        <f t="shared" si="21"/>
        <v>j</v>
      </c>
      <c r="G58" s="427"/>
      <c r="H58" s="321">
        <f>IF(F58="j",D58/Allgemeines!$B$30*$C$30,G58)</f>
        <v>0</v>
      </c>
      <c r="I58" s="411">
        <f t="shared" si="22"/>
        <v>0</v>
      </c>
      <c r="J58" s="139">
        <f>IF(AND(F58&lt;&gt;"",B58="Rückspeisung eN",Allgemeines!$B$29&lt;=2028),$J$21,0)
+IF(AND(F58&lt;&gt;"",OR(B58="EEG-nvol",B58="KWKG",B58="Sonstige-nvol"),AND(OR(C58="&lt;= 2022",C58&lt;=2022),Allgemeines!$B$29&lt;=2025)),1,0)
+IF(AND(F58&lt;&gt;"",OR(B58="EEG-nvol",B58="KWKG",B58="Sonstige-nvol"),AND(OR(C58="&lt;= 2022",C58&lt;=2022),Allgemeines!$B$29&gt;=2026)),MIN(1,MAX(0,1-(Allgemeines!$B$29-2025)/4)),0)
+IF(AND(F58&lt;&gt;"",OR(B58="EEG-vol",B58="Sonstige-vol"),OR(C58="&lt;= 2017",C58&lt;=2017),C58&gt;1900),MIN(1,MAX(0,1-(Allgemeines!$B$29-2017)/3)),0)</f>
        <v>0</v>
      </c>
      <c r="K58" s="140">
        <f t="shared" si="23"/>
        <v>0</v>
      </c>
      <c r="L58" s="156"/>
      <c r="M58" s="413" t="str">
        <f t="shared" si="24"/>
        <v/>
      </c>
      <c r="N58" s="407">
        <f t="shared" si="25"/>
        <v>0</v>
      </c>
      <c r="O58" s="428"/>
      <c r="P58" s="404">
        <f t="shared" si="26"/>
        <v>0</v>
      </c>
      <c r="Q58" s="405">
        <f t="shared" si="27"/>
        <v>0</v>
      </c>
      <c r="R58" s="429"/>
      <c r="S58" s="399">
        <f>IF($F58="j",$D58/Allgemeines!$B$30*W$26,R58)*$K58</f>
        <v>0</v>
      </c>
      <c r="T58" s="406">
        <f t="shared" si="28"/>
        <v>0</v>
      </c>
      <c r="U58" s="399">
        <f t="shared" si="29"/>
        <v>0</v>
      </c>
      <c r="V58" s="430"/>
      <c r="W58" s="558"/>
      <c r="X58" s="664">
        <f t="shared" si="30"/>
        <v>0</v>
      </c>
      <c r="Y58" s="673"/>
      <c r="Z58" s="407">
        <f t="shared" si="31"/>
        <v>0</v>
      </c>
      <c r="AA58" s="431"/>
      <c r="AB58" s="432">
        <f t="shared" si="32"/>
        <v>0</v>
      </c>
      <c r="AC58" s="407">
        <f t="shared" si="33"/>
        <v>0</v>
      </c>
      <c r="AD58" s="431"/>
      <c r="AE58" s="433">
        <f t="shared" si="34"/>
        <v>0</v>
      </c>
    </row>
    <row r="59" spans="1:31" x14ac:dyDescent="0.25">
      <c r="A59" s="152"/>
      <c r="B59" s="1"/>
      <c r="C59" s="546"/>
      <c r="D59" s="2"/>
      <c r="E59" s="398">
        <f t="shared" si="20"/>
        <v>0</v>
      </c>
      <c r="F59" s="426" t="str">
        <f t="shared" si="21"/>
        <v>j</v>
      </c>
      <c r="G59" s="427"/>
      <c r="H59" s="321">
        <f>IF(F59="j",D59/Allgemeines!$B$30*$C$30,G59)</f>
        <v>0</v>
      </c>
      <c r="I59" s="411">
        <f t="shared" si="22"/>
        <v>0</v>
      </c>
      <c r="J59" s="139">
        <f>IF(AND(F59&lt;&gt;"",B59="Rückspeisung eN",Allgemeines!$B$29&lt;=2028),$J$21,0)
+IF(AND(F59&lt;&gt;"",OR(B59="EEG-nvol",B59="KWKG",B59="Sonstige-nvol"),AND(OR(C59="&lt;= 2022",C59&lt;=2022),Allgemeines!$B$29&lt;=2025)),1,0)
+IF(AND(F59&lt;&gt;"",OR(B59="EEG-nvol",B59="KWKG",B59="Sonstige-nvol"),AND(OR(C59="&lt;= 2022",C59&lt;=2022),Allgemeines!$B$29&gt;=2026)),MIN(1,MAX(0,1-(Allgemeines!$B$29-2025)/4)),0)
+IF(AND(F59&lt;&gt;"",OR(B59="EEG-vol",B59="Sonstige-vol"),OR(C59="&lt;= 2017",C59&lt;=2017),C59&gt;1900),MIN(1,MAX(0,1-(Allgemeines!$B$29-2017)/3)),0)</f>
        <v>0</v>
      </c>
      <c r="K59" s="140">
        <f t="shared" si="23"/>
        <v>0</v>
      </c>
      <c r="L59" s="156"/>
      <c r="M59" s="413" t="str">
        <f t="shared" si="24"/>
        <v/>
      </c>
      <c r="N59" s="407">
        <f t="shared" si="25"/>
        <v>0</v>
      </c>
      <c r="O59" s="428"/>
      <c r="P59" s="404">
        <f t="shared" si="26"/>
        <v>0</v>
      </c>
      <c r="Q59" s="405">
        <f t="shared" si="27"/>
        <v>0</v>
      </c>
      <c r="R59" s="429"/>
      <c r="S59" s="399">
        <f>IF($F59="j",$D59/Allgemeines!$B$30*W$26,R59)*$K59</f>
        <v>0</v>
      </c>
      <c r="T59" s="406">
        <f t="shared" si="28"/>
        <v>0</v>
      </c>
      <c r="U59" s="399">
        <f t="shared" si="29"/>
        <v>0</v>
      </c>
      <c r="V59" s="430"/>
      <c r="W59" s="558"/>
      <c r="X59" s="664">
        <f t="shared" si="30"/>
        <v>0</v>
      </c>
      <c r="Y59" s="673"/>
      <c r="Z59" s="407">
        <f t="shared" si="31"/>
        <v>0</v>
      </c>
      <c r="AA59" s="431"/>
      <c r="AB59" s="432">
        <f t="shared" si="32"/>
        <v>0</v>
      </c>
      <c r="AC59" s="407">
        <f t="shared" si="33"/>
        <v>0</v>
      </c>
      <c r="AD59" s="431"/>
      <c r="AE59" s="433">
        <f t="shared" si="34"/>
        <v>0</v>
      </c>
    </row>
    <row r="60" spans="1:31" x14ac:dyDescent="0.25">
      <c r="A60" s="152"/>
      <c r="B60" s="1"/>
      <c r="C60" s="546"/>
      <c r="D60" s="2"/>
      <c r="E60" s="398">
        <f t="shared" si="20"/>
        <v>0</v>
      </c>
      <c r="F60" s="426" t="str">
        <f t="shared" si="21"/>
        <v>j</v>
      </c>
      <c r="G60" s="427"/>
      <c r="H60" s="321">
        <f>IF(F60="j",D60/Allgemeines!$B$30*$C$30,G60)</f>
        <v>0</v>
      </c>
      <c r="I60" s="411">
        <f t="shared" si="22"/>
        <v>0</v>
      </c>
      <c r="J60" s="139">
        <f>IF(AND(F60&lt;&gt;"",B60="Rückspeisung eN",Allgemeines!$B$29&lt;=2028),$J$21,0)
+IF(AND(F60&lt;&gt;"",OR(B60="EEG-nvol",B60="KWKG",B60="Sonstige-nvol"),AND(OR(C60="&lt;= 2022",C60&lt;=2022),Allgemeines!$B$29&lt;=2025)),1,0)
+IF(AND(F60&lt;&gt;"",OR(B60="EEG-nvol",B60="KWKG",B60="Sonstige-nvol"),AND(OR(C60="&lt;= 2022",C60&lt;=2022),Allgemeines!$B$29&gt;=2026)),MIN(1,MAX(0,1-(Allgemeines!$B$29-2025)/4)),0)
+IF(AND(F60&lt;&gt;"",OR(B60="EEG-vol",B60="Sonstige-vol"),OR(C60="&lt;= 2017",C60&lt;=2017),C60&gt;1900),MIN(1,MAX(0,1-(Allgemeines!$B$29-2017)/3)),0)</f>
        <v>0</v>
      </c>
      <c r="K60" s="140">
        <f t="shared" si="23"/>
        <v>0</v>
      </c>
      <c r="L60" s="156"/>
      <c r="M60" s="413" t="str">
        <f t="shared" si="24"/>
        <v/>
      </c>
      <c r="N60" s="407">
        <f t="shared" si="25"/>
        <v>0</v>
      </c>
      <c r="O60" s="428"/>
      <c r="P60" s="404">
        <f t="shared" si="26"/>
        <v>0</v>
      </c>
      <c r="Q60" s="405">
        <f t="shared" si="27"/>
        <v>0</v>
      </c>
      <c r="R60" s="429"/>
      <c r="S60" s="399">
        <f>IF($F60="j",$D60/Allgemeines!$B$30*W$26,R60)*$K60</f>
        <v>0</v>
      </c>
      <c r="T60" s="406">
        <f t="shared" si="28"/>
        <v>0</v>
      </c>
      <c r="U60" s="399">
        <f t="shared" si="29"/>
        <v>0</v>
      </c>
      <c r="V60" s="430"/>
      <c r="W60" s="558"/>
      <c r="X60" s="664">
        <f t="shared" si="30"/>
        <v>0</v>
      </c>
      <c r="Y60" s="673"/>
      <c r="Z60" s="407">
        <f t="shared" si="31"/>
        <v>0</v>
      </c>
      <c r="AA60" s="431"/>
      <c r="AB60" s="432">
        <f t="shared" si="32"/>
        <v>0</v>
      </c>
      <c r="AC60" s="407">
        <f t="shared" si="33"/>
        <v>0</v>
      </c>
      <c r="AD60" s="431"/>
      <c r="AE60" s="433">
        <f t="shared" si="34"/>
        <v>0</v>
      </c>
    </row>
    <row r="61" spans="1:31" x14ac:dyDescent="0.25">
      <c r="A61" s="152"/>
      <c r="B61" s="1"/>
      <c r="C61" s="546"/>
      <c r="D61" s="2"/>
      <c r="E61" s="398">
        <f t="shared" si="20"/>
        <v>0</v>
      </c>
      <c r="F61" s="426" t="str">
        <f t="shared" si="21"/>
        <v>j</v>
      </c>
      <c r="G61" s="427"/>
      <c r="H61" s="321">
        <f>IF(F61="j",D61/Allgemeines!$B$30*$C$30,G61)</f>
        <v>0</v>
      </c>
      <c r="I61" s="411">
        <f t="shared" si="22"/>
        <v>0</v>
      </c>
      <c r="J61" s="139">
        <f>IF(AND(F61&lt;&gt;"",B61="Rückspeisung eN",Allgemeines!$B$29&lt;=2028),$J$21,0)
+IF(AND(F61&lt;&gt;"",OR(B61="EEG-nvol",B61="KWKG",B61="Sonstige-nvol"),AND(OR(C61="&lt;= 2022",C61&lt;=2022),Allgemeines!$B$29&lt;=2025)),1,0)
+IF(AND(F61&lt;&gt;"",OR(B61="EEG-nvol",B61="KWKG",B61="Sonstige-nvol"),AND(OR(C61="&lt;= 2022",C61&lt;=2022),Allgemeines!$B$29&gt;=2026)),MIN(1,MAX(0,1-(Allgemeines!$B$29-2025)/4)),0)
+IF(AND(F61&lt;&gt;"",OR(B61="EEG-vol",B61="Sonstige-vol"),OR(C61="&lt;= 2017",C61&lt;=2017),C61&gt;1900),MIN(1,MAX(0,1-(Allgemeines!$B$29-2017)/3)),0)</f>
        <v>0</v>
      </c>
      <c r="K61" s="140">
        <f t="shared" si="23"/>
        <v>0</v>
      </c>
      <c r="L61" s="156"/>
      <c r="M61" s="413" t="str">
        <f t="shared" si="24"/>
        <v/>
      </c>
      <c r="N61" s="407">
        <f t="shared" si="25"/>
        <v>0</v>
      </c>
      <c r="O61" s="428"/>
      <c r="P61" s="404">
        <f t="shared" si="26"/>
        <v>0</v>
      </c>
      <c r="Q61" s="405">
        <f t="shared" si="27"/>
        <v>0</v>
      </c>
      <c r="R61" s="429"/>
      <c r="S61" s="399">
        <f>IF($F61="j",$D61/Allgemeines!$B$30*W$26,R61)*$K61</f>
        <v>0</v>
      </c>
      <c r="T61" s="406">
        <f t="shared" si="28"/>
        <v>0</v>
      </c>
      <c r="U61" s="399">
        <f t="shared" si="29"/>
        <v>0</v>
      </c>
      <c r="V61" s="430"/>
      <c r="W61" s="558"/>
      <c r="X61" s="664">
        <f t="shared" si="30"/>
        <v>0</v>
      </c>
      <c r="Y61" s="673"/>
      <c r="Z61" s="407">
        <f t="shared" si="31"/>
        <v>0</v>
      </c>
      <c r="AA61" s="431"/>
      <c r="AB61" s="432">
        <f t="shared" si="32"/>
        <v>0</v>
      </c>
      <c r="AC61" s="407">
        <f t="shared" si="33"/>
        <v>0</v>
      </c>
      <c r="AD61" s="431"/>
      <c r="AE61" s="433">
        <f t="shared" si="34"/>
        <v>0</v>
      </c>
    </row>
    <row r="62" spans="1:31" x14ac:dyDescent="0.25">
      <c r="A62" s="152"/>
      <c r="B62" s="1"/>
      <c r="C62" s="546"/>
      <c r="D62" s="2"/>
      <c r="E62" s="398">
        <f t="shared" si="20"/>
        <v>0</v>
      </c>
      <c r="F62" s="426" t="str">
        <f t="shared" si="21"/>
        <v>j</v>
      </c>
      <c r="G62" s="427"/>
      <c r="H62" s="321">
        <f>IF(F62="j",D62/Allgemeines!$B$30*$C$30,G62)</f>
        <v>0</v>
      </c>
      <c r="I62" s="411">
        <f t="shared" si="22"/>
        <v>0</v>
      </c>
      <c r="J62" s="139">
        <f>IF(AND(F62&lt;&gt;"",B62="Rückspeisung eN",Allgemeines!$B$29&lt;=2028),$J$21,0)
+IF(AND(F62&lt;&gt;"",OR(B62="EEG-nvol",B62="KWKG",B62="Sonstige-nvol"),AND(OR(C62="&lt;= 2022",C62&lt;=2022),Allgemeines!$B$29&lt;=2025)),1,0)
+IF(AND(F62&lt;&gt;"",OR(B62="EEG-nvol",B62="KWKG",B62="Sonstige-nvol"),AND(OR(C62="&lt;= 2022",C62&lt;=2022),Allgemeines!$B$29&gt;=2026)),MIN(1,MAX(0,1-(Allgemeines!$B$29-2025)/4)),0)
+IF(AND(F62&lt;&gt;"",OR(B62="EEG-vol",B62="Sonstige-vol"),OR(C62="&lt;= 2017",C62&lt;=2017),C62&gt;1900),MIN(1,MAX(0,1-(Allgemeines!$B$29-2017)/3)),0)</f>
        <v>0</v>
      </c>
      <c r="K62" s="140">
        <f t="shared" si="23"/>
        <v>0</v>
      </c>
      <c r="L62" s="156"/>
      <c r="M62" s="413" t="str">
        <f t="shared" si="24"/>
        <v/>
      </c>
      <c r="N62" s="407">
        <f t="shared" si="25"/>
        <v>0</v>
      </c>
      <c r="O62" s="428"/>
      <c r="P62" s="404">
        <f t="shared" si="26"/>
        <v>0</v>
      </c>
      <c r="Q62" s="405">
        <f t="shared" si="27"/>
        <v>0</v>
      </c>
      <c r="R62" s="429"/>
      <c r="S62" s="399">
        <f>IF($F62="j",$D62/Allgemeines!$B$30*W$26,R62)*$K62</f>
        <v>0</v>
      </c>
      <c r="T62" s="406">
        <f t="shared" si="28"/>
        <v>0</v>
      </c>
      <c r="U62" s="399">
        <f t="shared" si="29"/>
        <v>0</v>
      </c>
      <c r="V62" s="430"/>
      <c r="W62" s="558"/>
      <c r="X62" s="664">
        <f t="shared" si="30"/>
        <v>0</v>
      </c>
      <c r="Y62" s="673"/>
      <c r="Z62" s="407">
        <f t="shared" si="31"/>
        <v>0</v>
      </c>
      <c r="AA62" s="431"/>
      <c r="AB62" s="432">
        <f t="shared" si="32"/>
        <v>0</v>
      </c>
      <c r="AC62" s="407">
        <f t="shared" si="33"/>
        <v>0</v>
      </c>
      <c r="AD62" s="431"/>
      <c r="AE62" s="433">
        <f t="shared" si="34"/>
        <v>0</v>
      </c>
    </row>
    <row r="63" spans="1:31" x14ac:dyDescent="0.25">
      <c r="A63" s="152"/>
      <c r="B63" s="1"/>
      <c r="C63" s="546"/>
      <c r="D63" s="2"/>
      <c r="E63" s="398">
        <f t="shared" si="20"/>
        <v>0</v>
      </c>
      <c r="F63" s="69" t="str">
        <f t="shared" si="21"/>
        <v>j</v>
      </c>
      <c r="G63" s="427"/>
      <c r="H63" s="321">
        <f>IF(F63="j",D63/Allgemeines!$B$30*$C$30,G63)</f>
        <v>0</v>
      </c>
      <c r="I63" s="411">
        <f t="shared" si="22"/>
        <v>0</v>
      </c>
      <c r="J63" s="139">
        <f>IF(AND(F63&lt;&gt;"",B63="Rückspeisung eN",Allgemeines!$B$29&lt;=2028),$J$21,0)
+IF(AND(F63&lt;&gt;"",OR(B63="EEG-nvol",B63="KWKG",B63="Sonstige-nvol"),AND(OR(C63="&lt;= 2022",C63&lt;=2022),Allgemeines!$B$29&lt;=2025)),1,0)
+IF(AND(F63&lt;&gt;"",OR(B63="EEG-nvol",B63="KWKG",B63="Sonstige-nvol"),AND(OR(C63="&lt;= 2022",C63&lt;=2022),Allgemeines!$B$29&gt;=2026)),MIN(1,MAX(0,1-(Allgemeines!$B$29-2025)/4)),0)
+IF(AND(F63&lt;&gt;"",OR(B63="EEG-vol",B63="Sonstige-vol"),OR(C63="&lt;= 2017",C63&lt;=2017),C63&gt;1900),MIN(1,MAX(0,1-(Allgemeines!$B$29-2017)/3)),0)</f>
        <v>0</v>
      </c>
      <c r="K63" s="140">
        <f t="shared" si="23"/>
        <v>0</v>
      </c>
      <c r="L63" s="156"/>
      <c r="M63" s="413" t="str">
        <f t="shared" si="24"/>
        <v/>
      </c>
      <c r="N63" s="407">
        <f t="shared" si="25"/>
        <v>0</v>
      </c>
      <c r="O63" s="434"/>
      <c r="P63" s="272">
        <f t="shared" si="26"/>
        <v>0</v>
      </c>
      <c r="Q63" s="408">
        <f t="shared" si="27"/>
        <v>0</v>
      </c>
      <c r="R63" s="429"/>
      <c r="S63" s="399">
        <f>IF($F63="j",$D63/Allgemeines!$B$30*W$26,R63)*$K63</f>
        <v>0</v>
      </c>
      <c r="T63" s="406">
        <f t="shared" si="28"/>
        <v>0</v>
      </c>
      <c r="U63" s="399">
        <f t="shared" si="29"/>
        <v>0</v>
      </c>
      <c r="V63" s="429"/>
      <c r="W63" s="558"/>
      <c r="X63" s="664">
        <f t="shared" si="30"/>
        <v>0</v>
      </c>
      <c r="Y63" s="665"/>
      <c r="Z63" s="407">
        <f t="shared" si="31"/>
        <v>0</v>
      </c>
      <c r="AA63" s="434"/>
      <c r="AB63" s="432">
        <f t="shared" si="32"/>
        <v>0</v>
      </c>
      <c r="AC63" s="407">
        <f t="shared" si="33"/>
        <v>0</v>
      </c>
      <c r="AD63" s="434"/>
      <c r="AE63" s="433">
        <f t="shared" si="34"/>
        <v>0</v>
      </c>
    </row>
    <row r="64" spans="1:31" x14ac:dyDescent="0.25">
      <c r="A64" s="153"/>
      <c r="B64" s="1"/>
      <c r="C64" s="546"/>
      <c r="D64" s="2"/>
      <c r="E64" s="398">
        <f t="shared" si="20"/>
        <v>0</v>
      </c>
      <c r="F64" s="69" t="str">
        <f t="shared" si="21"/>
        <v>j</v>
      </c>
      <c r="G64" s="427"/>
      <c r="H64" s="321">
        <f>IF(F64="j",D64/Allgemeines!$B$30*$C$30,G64)</f>
        <v>0</v>
      </c>
      <c r="I64" s="411">
        <f t="shared" si="22"/>
        <v>0</v>
      </c>
      <c r="J64" s="139">
        <f>IF(AND(F64&lt;&gt;"",B64="Rückspeisung eN",Allgemeines!$B$29&lt;=2028),$J$21,0)
+IF(AND(F64&lt;&gt;"",OR(B64="EEG-nvol",B64="KWKG",B64="Sonstige-nvol"),AND(OR(C64="&lt;= 2022",C64&lt;=2022),Allgemeines!$B$29&lt;=2025)),1,0)
+IF(AND(F64&lt;&gt;"",OR(B64="EEG-nvol",B64="KWKG",B64="Sonstige-nvol"),AND(OR(C64="&lt;= 2022",C64&lt;=2022),Allgemeines!$B$29&gt;=2026)),MIN(1,MAX(0,1-(Allgemeines!$B$29-2025)/4)),0)
+IF(AND(F64&lt;&gt;"",OR(B64="EEG-vol",B64="Sonstige-vol"),OR(C64="&lt;= 2017",C64&lt;=2017),C64&gt;1900),MIN(1,MAX(0,1-(Allgemeines!$B$29-2017)/3)),0)</f>
        <v>0</v>
      </c>
      <c r="K64" s="140">
        <f t="shared" si="23"/>
        <v>0</v>
      </c>
      <c r="L64" s="156"/>
      <c r="M64" s="413" t="str">
        <f t="shared" si="24"/>
        <v/>
      </c>
      <c r="N64" s="407">
        <f t="shared" si="25"/>
        <v>0</v>
      </c>
      <c r="O64" s="434"/>
      <c r="P64" s="272">
        <f t="shared" si="26"/>
        <v>0</v>
      </c>
      <c r="Q64" s="408">
        <f t="shared" si="27"/>
        <v>0</v>
      </c>
      <c r="R64" s="429"/>
      <c r="S64" s="399">
        <f>IF($F64="j",$D64/Allgemeines!$B$30*W$26,R64)*$K64</f>
        <v>0</v>
      </c>
      <c r="T64" s="406">
        <f t="shared" si="28"/>
        <v>0</v>
      </c>
      <c r="U64" s="399">
        <f t="shared" si="29"/>
        <v>0</v>
      </c>
      <c r="V64" s="429"/>
      <c r="W64" s="558"/>
      <c r="X64" s="664">
        <f t="shared" si="30"/>
        <v>0</v>
      </c>
      <c r="Y64" s="665"/>
      <c r="Z64" s="407">
        <f t="shared" si="31"/>
        <v>0</v>
      </c>
      <c r="AA64" s="434"/>
      <c r="AB64" s="432">
        <f t="shared" si="32"/>
        <v>0</v>
      </c>
      <c r="AC64" s="407">
        <f t="shared" si="33"/>
        <v>0</v>
      </c>
      <c r="AD64" s="434"/>
      <c r="AE64" s="433">
        <f t="shared" si="34"/>
        <v>0</v>
      </c>
    </row>
    <row r="65" spans="1:31" ht="15.75" thickBot="1" x14ac:dyDescent="0.3">
      <c r="A65" s="435"/>
      <c r="D65" s="70"/>
      <c r="E65" s="280"/>
      <c r="F65" s="69"/>
      <c r="G65" s="321"/>
      <c r="H65" s="321"/>
      <c r="I65" s="321"/>
      <c r="J65" s="321"/>
      <c r="K65" s="321"/>
      <c r="L65" s="321"/>
      <c r="M65" s="321"/>
      <c r="N65" s="321"/>
      <c r="O65" s="436"/>
      <c r="P65" s="437"/>
      <c r="Q65" s="437"/>
      <c r="R65" s="437"/>
      <c r="S65" s="70"/>
      <c r="T65" s="70"/>
      <c r="U65" s="321"/>
      <c r="V65" s="70"/>
      <c r="W65" s="70"/>
      <c r="X65" s="70"/>
      <c r="Y65" s="70"/>
      <c r="Z65" s="70"/>
      <c r="AA65" s="70"/>
      <c r="AB65" s="70"/>
      <c r="AC65" s="70"/>
      <c r="AD65" s="70"/>
    </row>
    <row r="66" spans="1:31" x14ac:dyDescent="0.25">
      <c r="A66" s="73" t="s">
        <v>215</v>
      </c>
      <c r="B66" s="74"/>
      <c r="C66" s="74"/>
      <c r="D66" s="438">
        <f>SUMIF($F$38:$F$49,"n",D38:D49)</f>
        <v>0</v>
      </c>
      <c r="E66" s="439">
        <f>SUMIF($F$38:$F$49,"n",E38:E49)</f>
        <v>0</v>
      </c>
      <c r="F66" s="440" t="s">
        <v>23</v>
      </c>
      <c r="G66" s="441">
        <f>SUMIF($F$38:$F$49,"n",G38:G49)</f>
        <v>0</v>
      </c>
      <c r="H66" s="441">
        <f>SUMIF($F$38:$F$49,"n",H38:H49)</f>
        <v>0</v>
      </c>
      <c r="I66" s="441">
        <f>SUMIF($F$38:$F$49,"n",I38:I49)</f>
        <v>0</v>
      </c>
      <c r="J66" s="442"/>
      <c r="K66" s="442"/>
      <c r="L66" s="442"/>
      <c r="M66" s="442"/>
      <c r="N66" s="448">
        <f t="shared" ref="N66:V66" si="35">SUMIF($F$38:$F$49,"n",N38:N49)</f>
        <v>0</v>
      </c>
      <c r="O66" s="686">
        <f t="shared" si="35"/>
        <v>0</v>
      </c>
      <c r="P66" s="443">
        <f t="shared" si="35"/>
        <v>0</v>
      </c>
      <c r="Q66" s="684">
        <f t="shared" si="35"/>
        <v>0</v>
      </c>
      <c r="R66" s="441">
        <f t="shared" si="35"/>
        <v>0</v>
      </c>
      <c r="S66" s="444">
        <f t="shared" si="35"/>
        <v>0</v>
      </c>
      <c r="T66" s="445">
        <f t="shared" si="35"/>
        <v>0</v>
      </c>
      <c r="U66" s="444">
        <f t="shared" si="35"/>
        <v>0</v>
      </c>
      <c r="V66" s="446">
        <f t="shared" si="35"/>
        <v>0</v>
      </c>
      <c r="W66" s="556"/>
      <c r="X66" s="666">
        <f t="shared" ref="X66:AE66" si="36">SUMIF($F$38:$F$49,"n",X38:X49)</f>
        <v>0</v>
      </c>
      <c r="Y66" s="667">
        <f t="shared" si="36"/>
        <v>0</v>
      </c>
      <c r="Z66" s="448">
        <f t="shared" si="36"/>
        <v>0</v>
      </c>
      <c r="AA66" s="446">
        <f t="shared" si="36"/>
        <v>0</v>
      </c>
      <c r="AB66" s="447">
        <f t="shared" si="36"/>
        <v>0</v>
      </c>
      <c r="AC66" s="448">
        <f t="shared" si="36"/>
        <v>0</v>
      </c>
      <c r="AD66" s="446">
        <f t="shared" si="36"/>
        <v>0</v>
      </c>
      <c r="AE66" s="447">
        <f t="shared" si="36"/>
        <v>0</v>
      </c>
    </row>
    <row r="67" spans="1:31" x14ac:dyDescent="0.25">
      <c r="A67" s="76" t="s">
        <v>216</v>
      </c>
      <c r="D67" s="449">
        <f>SUMIF($F$38:$F$49,"j",D38:D49)</f>
        <v>0</v>
      </c>
      <c r="E67" s="398">
        <f>SUMIF($F$38:$F$49,"j",E38:E49)</f>
        <v>0</v>
      </c>
      <c r="F67" s="72" t="s">
        <v>1</v>
      </c>
      <c r="G67" s="321">
        <f>SUMIF($F$38:$F$49,"j",G38:G49)</f>
        <v>0</v>
      </c>
      <c r="H67" s="321">
        <f>SUMIF($F$38:$F$49,"j",H38:H49)</f>
        <v>0</v>
      </c>
      <c r="I67" s="321">
        <f>SUMIF($F$38:$F$49,"j",I38:I49)</f>
        <v>0</v>
      </c>
      <c r="J67" s="427"/>
      <c r="K67" s="427"/>
      <c r="L67" s="427"/>
      <c r="M67" s="427"/>
      <c r="N67" s="402">
        <f t="shared" ref="N67:V67" si="37">SUMIF($F$38:$F$49,"j",N38:N49)</f>
        <v>0</v>
      </c>
      <c r="O67" s="687">
        <f t="shared" si="37"/>
        <v>0</v>
      </c>
      <c r="P67" s="450">
        <f t="shared" si="37"/>
        <v>0</v>
      </c>
      <c r="Q67" s="408">
        <f t="shared" si="37"/>
        <v>0</v>
      </c>
      <c r="R67" s="321">
        <f t="shared" si="37"/>
        <v>0</v>
      </c>
      <c r="S67" s="399">
        <f t="shared" si="37"/>
        <v>0</v>
      </c>
      <c r="T67" s="349">
        <f t="shared" si="37"/>
        <v>0</v>
      </c>
      <c r="U67" s="399">
        <f t="shared" si="37"/>
        <v>0</v>
      </c>
      <c r="V67" s="405">
        <f t="shared" si="37"/>
        <v>0</v>
      </c>
      <c r="W67" s="429"/>
      <c r="X67" s="664">
        <f t="shared" ref="X67:AE67" si="38">SUMIF($F$38:$F$49,"j",X38:X49)</f>
        <v>0</v>
      </c>
      <c r="Y67" s="663">
        <f t="shared" si="38"/>
        <v>0</v>
      </c>
      <c r="Z67" s="451">
        <f t="shared" si="38"/>
        <v>0</v>
      </c>
      <c r="AA67" s="452">
        <f t="shared" si="38"/>
        <v>0</v>
      </c>
      <c r="AB67" s="403">
        <f t="shared" si="38"/>
        <v>0</v>
      </c>
      <c r="AC67" s="451">
        <f t="shared" si="38"/>
        <v>0</v>
      </c>
      <c r="AD67" s="452">
        <f t="shared" si="38"/>
        <v>0</v>
      </c>
      <c r="AE67" s="403">
        <f t="shared" si="38"/>
        <v>0</v>
      </c>
    </row>
    <row r="68" spans="1:31" x14ac:dyDescent="0.25">
      <c r="A68" s="210" t="s">
        <v>214</v>
      </c>
      <c r="B68" s="4"/>
      <c r="C68" s="4"/>
      <c r="D68" s="212">
        <f>SUM(D53:D64)</f>
        <v>0</v>
      </c>
      <c r="E68" s="453">
        <f>SUM(E53:E64)</f>
        <v>0</v>
      </c>
      <c r="F68" s="454" t="s">
        <v>1</v>
      </c>
      <c r="G68" s="455">
        <f>SUM(G53:G64)</f>
        <v>0</v>
      </c>
      <c r="H68" s="456">
        <f>SUM(H53:H64)</f>
        <v>0</v>
      </c>
      <c r="I68" s="456">
        <f>SUM(I53:I64)</f>
        <v>0</v>
      </c>
      <c r="J68" s="455"/>
      <c r="K68" s="455"/>
      <c r="L68" s="455"/>
      <c r="M68" s="455"/>
      <c r="N68" s="462">
        <f t="shared" ref="N68:U68" si="39">SUM(N53:N64)</f>
        <v>0</v>
      </c>
      <c r="O68" s="688">
        <f t="shared" si="39"/>
        <v>0</v>
      </c>
      <c r="P68" s="458">
        <f t="shared" si="39"/>
        <v>0</v>
      </c>
      <c r="Q68" s="685">
        <f t="shared" si="39"/>
        <v>0</v>
      </c>
      <c r="R68" s="459">
        <f t="shared" si="39"/>
        <v>0</v>
      </c>
      <c r="S68" s="459">
        <f t="shared" si="39"/>
        <v>0</v>
      </c>
      <c r="T68" s="342">
        <f t="shared" si="39"/>
        <v>0</v>
      </c>
      <c r="U68" s="459">
        <f t="shared" si="39"/>
        <v>0</v>
      </c>
      <c r="V68" s="460"/>
      <c r="W68" s="460"/>
      <c r="X68" s="668">
        <f>SUM(X53:X64)</f>
        <v>0</v>
      </c>
      <c r="Y68" s="669"/>
      <c r="Z68" s="462">
        <f>SUM(Z53:Z64)</f>
        <v>0</v>
      </c>
      <c r="AA68" s="461"/>
      <c r="AB68" s="463">
        <f>SUM(AB53:AB64)</f>
        <v>0</v>
      </c>
      <c r="AC68" s="462">
        <f>SUM(AC53:AC64)</f>
        <v>0</v>
      </c>
      <c r="AD68" s="461"/>
      <c r="AE68" s="463">
        <f>SUM(AE53:AE64)</f>
        <v>0</v>
      </c>
    </row>
    <row r="69" spans="1:31" ht="15.75" thickBot="1" x14ac:dyDescent="0.3">
      <c r="A69" s="78" t="s">
        <v>3</v>
      </c>
      <c r="B69" s="464"/>
      <c r="C69" s="79"/>
      <c r="D69" s="465">
        <f>D66+D67+D68</f>
        <v>0</v>
      </c>
      <c r="E69" s="466">
        <f>E66+E67+E68</f>
        <v>0</v>
      </c>
      <c r="F69" s="467"/>
      <c r="G69" s="468"/>
      <c r="H69" s="469">
        <f>SUM(H66:H68)</f>
        <v>0</v>
      </c>
      <c r="I69" s="469">
        <f>SUM(I66:I68)</f>
        <v>0</v>
      </c>
      <c r="J69" s="468"/>
      <c r="K69" s="468"/>
      <c r="L69" s="468"/>
      <c r="M69" s="468"/>
      <c r="N69" s="683">
        <f t="shared" ref="N69:AE69" si="40">SUM(N66:N68)</f>
        <v>0</v>
      </c>
      <c r="O69" s="689">
        <f t="shared" si="40"/>
        <v>0</v>
      </c>
      <c r="P69" s="470">
        <f t="shared" si="40"/>
        <v>0</v>
      </c>
      <c r="Q69" s="683">
        <f t="shared" si="40"/>
        <v>0</v>
      </c>
      <c r="R69" s="472">
        <f t="shared" si="40"/>
        <v>0</v>
      </c>
      <c r="S69" s="472">
        <f t="shared" si="40"/>
        <v>0</v>
      </c>
      <c r="T69" s="471">
        <f t="shared" si="40"/>
        <v>0</v>
      </c>
      <c r="U69" s="472">
        <f t="shared" si="40"/>
        <v>0</v>
      </c>
      <c r="V69" s="475">
        <f t="shared" si="40"/>
        <v>0</v>
      </c>
      <c r="W69" s="557"/>
      <c r="X69" s="670">
        <f t="shared" si="40"/>
        <v>0</v>
      </c>
      <c r="Y69" s="671">
        <f t="shared" si="40"/>
        <v>0</v>
      </c>
      <c r="Z69" s="474">
        <f t="shared" si="40"/>
        <v>0</v>
      </c>
      <c r="AA69" s="475">
        <f t="shared" si="40"/>
        <v>0</v>
      </c>
      <c r="AB69" s="473">
        <f t="shared" si="40"/>
        <v>0</v>
      </c>
      <c r="AC69" s="474">
        <f t="shared" si="40"/>
        <v>0</v>
      </c>
      <c r="AD69" s="475">
        <f t="shared" si="40"/>
        <v>0</v>
      </c>
      <c r="AE69" s="473">
        <f t="shared" si="40"/>
        <v>0</v>
      </c>
    </row>
    <row r="70" spans="1:31" ht="16.5" x14ac:dyDescent="0.3">
      <c r="D70" s="476" t="s">
        <v>27</v>
      </c>
      <c r="E70" s="477" t="s">
        <v>154</v>
      </c>
      <c r="F70" s="476"/>
      <c r="G70" s="476"/>
      <c r="H70" s="478" t="s">
        <v>180</v>
      </c>
      <c r="I70" s="477" t="s">
        <v>155</v>
      </c>
      <c r="K70" s="478"/>
      <c r="L70" s="478"/>
      <c r="M70" s="478"/>
      <c r="N70" s="478"/>
      <c r="O70" s="478"/>
      <c r="P70" s="73" t="s">
        <v>396</v>
      </c>
      <c r="Q70" s="74"/>
      <c r="R70" s="74"/>
      <c r="S70" s="74"/>
      <c r="T70" s="74"/>
      <c r="U70" s="479">
        <f>CHOOSE(RIGHT(U$35,1),D69,W23,H69)</f>
        <v>0</v>
      </c>
      <c r="Z70" s="480"/>
      <c r="AA70" s="480"/>
      <c r="AB70" s="480"/>
      <c r="AC70" s="480"/>
      <c r="AD70" s="480"/>
    </row>
    <row r="71" spans="1:31" x14ac:dyDescent="0.25">
      <c r="P71" s="76" t="s">
        <v>392</v>
      </c>
      <c r="U71" s="481">
        <f>IF(U70=0,0,U69/U70)</f>
        <v>0</v>
      </c>
    </row>
    <row r="72" spans="1:31" ht="15.75" thickBot="1" x14ac:dyDescent="0.3">
      <c r="P72" s="78" t="s">
        <v>393</v>
      </c>
      <c r="Q72" s="79"/>
      <c r="R72" s="79"/>
      <c r="S72" s="79"/>
      <c r="T72" s="79"/>
      <c r="U72" s="89">
        <f>IF(D69=0,0,P69/D69)</f>
        <v>0</v>
      </c>
    </row>
  </sheetData>
  <sheetProtection algorithmName="SHA-512" hashValue="YkGC8dx3Bd0wtTMKY3RkKsVwJx1EN8LKcUCrdEWZC2ljg08OYO0vQamGjVxyVxbxMn1RLf9+ZRIG+eGg+NSzWg==" saltValue="gIBrDfDXIlXPAHMzIdwjBQ==" spinCount="100000" sheet="1" objects="1" scenarios="1" formatCells="0"/>
  <mergeCells count="11">
    <mergeCell ref="H28:K28"/>
    <mergeCell ref="H29:K29"/>
    <mergeCell ref="H30:K30"/>
    <mergeCell ref="H31:K31"/>
    <mergeCell ref="H32:K32"/>
    <mergeCell ref="V3:AD8"/>
    <mergeCell ref="L22:L26"/>
    <mergeCell ref="M22:M25"/>
    <mergeCell ref="N22:N25"/>
    <mergeCell ref="H27:K27"/>
    <mergeCell ref="H26:K26"/>
  </mergeCells>
  <conditionalFormatting sqref="E69 C10">
    <cfRule type="expression" dxfId="459" priority="91">
      <formula>ABS($C$10-$E$69)&gt;0.01</formula>
    </cfRule>
    <cfRule type="expression" dxfId="458" priority="94">
      <formula>ABS($C$10-$E$69)&lt;0.01</formula>
    </cfRule>
  </conditionalFormatting>
  <conditionalFormatting sqref="C14">
    <cfRule type="cellIs" dxfId="457" priority="87" operator="greaterThan">
      <formula>1.0001</formula>
    </cfRule>
  </conditionalFormatting>
  <conditionalFormatting sqref="G68 T68 J68:N68">
    <cfRule type="expression" dxfId="456" priority="88">
      <formula>G68&lt;-1</formula>
    </cfRule>
  </conditionalFormatting>
  <conditionalFormatting sqref="G68">
    <cfRule type="expression" dxfId="455" priority="93">
      <formula>AND($G$68&gt;$D$68*4,D68&gt;1)</formula>
    </cfRule>
  </conditionalFormatting>
  <conditionalFormatting sqref="D19:E19">
    <cfRule type="expression" dxfId="454" priority="86">
      <formula>$B$16="j"</formula>
    </cfRule>
  </conditionalFormatting>
  <conditionalFormatting sqref="C29:C30">
    <cfRule type="expression" dxfId="453" priority="89">
      <formula>C29&lt;-0.1</formula>
    </cfRule>
  </conditionalFormatting>
  <conditionalFormatting sqref="W23">
    <cfRule type="expression" dxfId="452" priority="85">
      <formula>$W$23&lt;-1</formula>
    </cfRule>
  </conditionalFormatting>
  <conditionalFormatting sqref="M68">
    <cfRule type="expression" dxfId="451" priority="96">
      <formula>AND($G$68&gt;$D$68*4,E68&gt;1)</formula>
    </cfRule>
  </conditionalFormatting>
  <conditionalFormatting sqref="K68:L68">
    <cfRule type="expression" dxfId="450" priority="97">
      <formula>AND($G$68&gt;$D$68*4,E68&gt;1)</formula>
    </cfRule>
  </conditionalFormatting>
  <conditionalFormatting sqref="J68">
    <cfRule type="expression" dxfId="449" priority="98">
      <formula>AND($G$68&gt;$D$68*4,E68&gt;1)</formula>
    </cfRule>
  </conditionalFormatting>
  <conditionalFormatting sqref="L28:L32">
    <cfRule type="duplicateValues" dxfId="448" priority="82"/>
  </conditionalFormatting>
  <conditionalFormatting sqref="H68">
    <cfRule type="expression" dxfId="447" priority="77">
      <formula>H68&lt;-1</formula>
    </cfRule>
  </conditionalFormatting>
  <conditionalFormatting sqref="H68">
    <cfRule type="expression" dxfId="446" priority="78">
      <formula>AND($G$68&gt;$D$68*4,E68&gt;1)</formula>
    </cfRule>
  </conditionalFormatting>
  <conditionalFormatting sqref="I68">
    <cfRule type="expression" dxfId="445" priority="74">
      <formula>I68&lt;-1</formula>
    </cfRule>
  </conditionalFormatting>
  <conditionalFormatting sqref="I68">
    <cfRule type="expression" dxfId="444" priority="75">
      <formula>AND($G$68&gt;$D$68*4,F68&gt;1)</formula>
    </cfRule>
  </conditionalFormatting>
  <conditionalFormatting sqref="I69 C20">
    <cfRule type="expression" dxfId="443" priority="52">
      <formula>ABS($C$20-$I$69)&gt;=0.01</formula>
    </cfRule>
  </conditionalFormatting>
  <conditionalFormatting sqref="H69 C26">
    <cfRule type="expression" dxfId="442" priority="51">
      <formula>ABS($C$26-$H$69)&gt;=0.01</formula>
    </cfRule>
  </conditionalFormatting>
  <conditionalFormatting sqref="W25:W26">
    <cfRule type="expression" dxfId="441" priority="40">
      <formula>W25&lt;-0.1</formula>
    </cfRule>
  </conditionalFormatting>
  <conditionalFormatting sqref="W30">
    <cfRule type="cellIs" dxfId="440" priority="26" operator="notEqual">
      <formula>0</formula>
    </cfRule>
  </conditionalFormatting>
  <conditionalFormatting sqref="W31">
    <cfRule type="expression" dxfId="439" priority="25">
      <formula>$W$30&lt;&gt;0</formula>
    </cfRule>
  </conditionalFormatting>
  <conditionalFormatting sqref="G38:G49">
    <cfRule type="expression" dxfId="438" priority="22">
      <formula>OR(AND($D38&gt;0,ISBLANK($G38)),AND($W38&gt;0,ISBLANK($G38)))</formula>
    </cfRule>
  </conditionalFormatting>
  <conditionalFormatting sqref="L38:L49">
    <cfRule type="expression" dxfId="437" priority="21">
      <formula>OR(AND($D38&gt;0,ISERROR(MATCH($L38,$L$28:$L$32,0))),AND($W38&gt;0,ISERROR(MATCH($L38,$L$28:$L$32,0))))</formula>
    </cfRule>
  </conditionalFormatting>
  <conditionalFormatting sqref="L53:L64">
    <cfRule type="expression" dxfId="436" priority="20">
      <formula>OR(AND($D53&gt;0,ISERROR(MATCH($L53,$L$28:$L$32,0))),AND($W53&gt;0,ISERROR(MATCH($L53,$L$28:$L$32,0))))</formula>
    </cfRule>
  </conditionalFormatting>
  <conditionalFormatting sqref="R38:R49">
    <cfRule type="expression" dxfId="435" priority="17">
      <formula>OR(AND($D38&gt;0,ISBLANK($G38)),AND($W38&gt;0,ISBLANK($G38)))</formula>
    </cfRule>
  </conditionalFormatting>
  <conditionalFormatting sqref="C25">
    <cfRule type="expression" dxfId="434" priority="16">
      <formula>$C$25&lt;$C$19-0.5</formula>
    </cfRule>
  </conditionalFormatting>
  <conditionalFormatting sqref="C25">
    <cfRule type="expression" dxfId="433" priority="15">
      <formula>AND(Sperrung="j",CELL("Schutz",C25))</formula>
    </cfRule>
  </conditionalFormatting>
  <conditionalFormatting sqref="F38:F49">
    <cfRule type="expression" dxfId="432" priority="13">
      <formula>AND(OR(B38="EEG-vol",B38="EEG-nvol"),F38="j")</formula>
    </cfRule>
    <cfRule type="expression" dxfId="431" priority="14">
      <formula>AND(F38="",OR(D38&lt;&gt;0,G38&lt;&gt;0,W38&lt;&gt;0))</formula>
    </cfRule>
  </conditionalFormatting>
  <conditionalFormatting sqref="C38:C49">
    <cfRule type="expression" dxfId="430" priority="12">
      <formula>AND(AND(B38&lt;&gt;0,B38&lt;&gt;"ohne vermNE"),C38=0)</formula>
    </cfRule>
  </conditionalFormatting>
  <conditionalFormatting sqref="C38:C49">
    <cfRule type="expression" dxfId="429" priority="10">
      <formula>AND(C38&lt;&gt;0,MOD(C38,1)&lt;&gt;0)</formula>
    </cfRule>
    <cfRule type="expression" dxfId="428" priority="11">
      <formula>AND(C38&lt;&gt;0,NOT(ISNUMBER(C38)))</formula>
    </cfRule>
  </conditionalFormatting>
  <conditionalFormatting sqref="V17">
    <cfRule type="expression" dxfId="427" priority="8">
      <formula>V17&gt;0</formula>
    </cfRule>
  </conditionalFormatting>
  <conditionalFormatting sqref="W17">
    <cfRule type="expression" dxfId="426" priority="7">
      <formula>ABS(IF(U69&gt;0,W15/U69*U68,W15)-$W$17)&gt;1</formula>
    </cfRule>
  </conditionalFormatting>
  <dataValidations count="8">
    <dataValidation type="custom" allowBlank="1" showInputMessage="1" showErrorMessage="1" error="Bitte Wert negativ eingeben!" sqref="C19 C25 W22" xr:uid="{00000000-0002-0000-0600-000000000000}">
      <formula1>C19&lt;=0</formula1>
    </dataValidation>
    <dataValidation type="list" allowBlank="1" showInputMessage="1" showErrorMessage="1" sqref="B16 F38:F52" xr:uid="{00000000-0002-0000-0600-000001000000}">
      <formula1>"j,n"</formula1>
    </dataValidation>
    <dataValidation type="decimal" operator="greaterThanOrEqual" allowBlank="1" showInputMessage="1" showErrorMessage="1" error="Die Rückspeisevergütung muss positiv oder 0 sein._x000a_" sqref="V13:W14" xr:uid="{00000000-0002-0000-0600-000002000000}">
      <formula1>0</formula1>
    </dataValidation>
    <dataValidation type="list" allowBlank="1" showInputMessage="1" showErrorMessage="1" sqref="C28" xr:uid="{00000000-0002-0000-0600-000003000000}">
      <formula1>"1,2"</formula1>
    </dataValidation>
    <dataValidation type="list" allowBlank="1" showInputMessage="1" showErrorMessage="1" sqref="B51:C52" xr:uid="{00000000-0002-0000-0600-000004000000}">
      <formula1>"EEG,KWKG,Sonstige"</formula1>
    </dataValidation>
    <dataValidation type="list" allowBlank="1" showDropDown="1" showInputMessage="1" showErrorMessage="1" sqref="F53:F67" xr:uid="{00000000-0002-0000-0600-000005000000}">
      <formula1>"j,n"</formula1>
    </dataValidation>
    <dataValidation type="whole" allowBlank="1" showInputMessage="1" showErrorMessage="1" sqref="C38:C49" xr:uid="{00000000-0002-0000-0600-000006000000}">
      <formula1>1950</formula1>
      <formula2>2100</formula2>
    </dataValidation>
    <dataValidation type="list" allowBlank="1" showInputMessage="1" showErrorMessage="1" sqref="L38:L49 L53:L64" xr:uid="{00000000-0002-0000-0600-000007000000}">
      <formula1>$L$28:$L$32</formula1>
    </dataValidation>
  </dataValidations>
  <printOptions horizontalCentered="1"/>
  <pageMargins left="0.39370078740157483" right="0.39370078740157483" top="0.39370078740157483" bottom="0.39370078740157483" header="0.51181102362204722" footer="0.51181102362204722"/>
  <pageSetup paperSize="9" scale="46" fitToWidth="2" orientation="landscape" r:id="rId1"/>
  <headerFooter alignWithMargins="0"/>
  <rowBreaks count="1" manualBreakCount="1">
    <brk id="33" max="29" man="1"/>
  </rowBreaks>
  <colBreaks count="1" manualBreakCount="1">
    <brk id="15" max="71" man="1"/>
  </colBreaks>
  <drawing r:id="rId2"/>
  <legacyDrawing r:id="rId3"/>
  <controls>
    <mc:AlternateContent xmlns:mc="http://schemas.openxmlformats.org/markup-compatibility/2006">
      <mc:Choice Requires="x14">
        <control shapeId="57386" r:id="rId4" name="CommandButton2">
          <controlPr defaultSize="0" autoLine="0" r:id="rId5">
            <anchor moveWithCells="1">
              <from>
                <xdr:col>0</xdr:col>
                <xdr:colOff>66675</xdr:colOff>
                <xdr:row>34</xdr:row>
                <xdr:rowOff>533400</xdr:rowOff>
              </from>
              <to>
                <xdr:col>0</xdr:col>
                <xdr:colOff>4457700</xdr:colOff>
                <xdr:row>34</xdr:row>
                <xdr:rowOff>962025</xdr:rowOff>
              </to>
            </anchor>
          </controlPr>
        </control>
      </mc:Choice>
      <mc:Fallback>
        <control shapeId="57386" r:id="rId4" name="CommandButton2"/>
      </mc:Fallback>
    </mc:AlternateContent>
    <mc:AlternateContent xmlns:mc="http://schemas.openxmlformats.org/markup-compatibility/2006">
      <mc:Choice Requires="x14">
        <control shapeId="57385" r:id="rId6" name="CommandButton1">
          <controlPr defaultSize="0" autoFill="0" autoLine="0" r:id="rId7">
            <anchor moveWithCells="1">
              <from>
                <xdr:col>0</xdr:col>
                <xdr:colOff>66675</xdr:colOff>
                <xdr:row>34</xdr:row>
                <xdr:rowOff>76200</xdr:rowOff>
              </from>
              <to>
                <xdr:col>0</xdr:col>
                <xdr:colOff>4457700</xdr:colOff>
                <xdr:row>34</xdr:row>
                <xdr:rowOff>504825</xdr:rowOff>
              </to>
            </anchor>
          </controlPr>
        </control>
      </mc:Choice>
      <mc:Fallback>
        <control shapeId="57385" r:id="rId6" name="CommandButton1"/>
      </mc:Fallback>
    </mc:AlternateContent>
  </controls>
  <tableParts count="2">
    <tablePart r:id="rId8"/>
    <tablePart r:id="rId9"/>
  </tableParts>
  <extLst>
    <ext xmlns:x14="http://schemas.microsoft.com/office/spreadsheetml/2009/9/main" uri="{78C0D931-6437-407d-A8EE-F0AAD7539E65}">
      <x14:conditionalFormattings>
        <x14:conditionalFormatting xmlns:xm="http://schemas.microsoft.com/office/excel/2006/main">
          <x14:cfRule type="expression" priority="38" id="{563931B7-0294-4C10-B51F-437472147261}">
            <xm:f>OR($B53=Listen!$A$2,$B53=Listen!$A$1)</xm:f>
            <x14:dxf>
              <fill>
                <patternFill>
                  <bgColor theme="1"/>
                </patternFill>
              </fill>
            </x14:dxf>
          </x14:cfRule>
          <x14:cfRule type="expression" priority="39" id="{49CC91F8-404E-4A66-A15B-E5E337B723C8}">
            <xm:f>IFERROR(MATCH(C53,OFFSET(Listen!$B$1:C$1,MATCH(B53,Listen!$A$1:$A$10,0)-1,0,1,2),0),0)=0</xm:f>
            <x14:dxf>
              <fill>
                <patternFill>
                  <bgColor rgb="FFFF0000"/>
                </patternFill>
              </fill>
            </x14:dxf>
          </x14:cfRule>
          <xm:sqref>C53:C64</xm:sqref>
        </x14:conditionalFormatting>
        <x14:conditionalFormatting xmlns:xm="http://schemas.microsoft.com/office/excel/2006/main">
          <x14:cfRule type="expression" priority="32" id="{512E8DF4-7A64-47F8-A61E-DD94AA5E4CEA}">
            <xm:f>OR(AND(J38&lt;&gt;K38,MATCH(B38,Listen!$A$1:$A$10,0)&gt;=3),AND(K38&lt;&gt;$K$21,B38=Listen!$A$2))</xm:f>
            <x14:dxf>
              <fill>
                <patternFill>
                  <bgColor rgb="FFFF0000"/>
                </patternFill>
              </fill>
            </x14:dxf>
          </x14:cfRule>
          <xm:sqref>K38:K49</xm:sqref>
        </x14:conditionalFormatting>
        <x14:conditionalFormatting xmlns:xm="http://schemas.microsoft.com/office/excel/2006/main">
          <x14:cfRule type="expression" priority="30" id="{2736701D-3057-44F3-9703-513322F8E0F6}">
            <xm:f>OR(AND(J54&lt;&gt;K54,MATCH(B54,Listen!$A$1:$A$10,0)&gt;=3),AND(K54&lt;&gt;$K$21,B54=Listen!$A$2))</xm:f>
            <x14:dxf>
              <fill>
                <patternFill>
                  <bgColor rgb="FFFF0000"/>
                </patternFill>
              </fill>
            </x14:dxf>
          </x14:cfRule>
          <xm:sqref>K54:K64</xm:sqref>
        </x14:conditionalFormatting>
        <x14:conditionalFormatting xmlns:xm="http://schemas.microsoft.com/office/excel/2006/main">
          <x14:cfRule type="expression" priority="29" id="{138DB9E5-1FA4-4C41-8968-2712CB71E620}">
            <xm:f>OR(AND(J53&lt;&gt;K53,MATCH(B53,Listen!$A$1:$A$10,0)&gt;=3),AND(K53&lt;&gt;$K$21,B53=Listen!$A$2))</xm:f>
            <x14:dxf>
              <fill>
                <patternFill>
                  <bgColor rgb="FFFF0000"/>
                </patternFill>
              </fill>
            </x14:dxf>
          </x14:cfRule>
          <xm:sqref>K53</xm:sqref>
        </x14:conditionalFormatting>
        <x14:conditionalFormatting xmlns:xm="http://schemas.microsoft.com/office/excel/2006/main">
          <x14:cfRule type="expression" priority="24" id="{397366CB-97A1-46A6-BF62-C6230A23C3D3}">
            <xm:f>OR(AND(B38&lt;&gt;0,IFERROR(VLOOKUP(B38,Listen!$A$1:$A$10,1,FALSE),0)=0),AND(B38=0,D38&lt;&gt;0),AND(B38=0,W38&lt;&gt;0))</xm:f>
            <x14:dxf>
              <fill>
                <patternFill>
                  <bgColor rgb="FFFF0000"/>
                </patternFill>
              </fill>
            </x14:dxf>
          </x14:cfRule>
          <xm:sqref>B38:B49</xm:sqref>
        </x14:conditionalFormatting>
        <x14:conditionalFormatting xmlns:xm="http://schemas.microsoft.com/office/excel/2006/main">
          <x14:cfRule type="expression" priority="18" id="{95705668-E8FB-4C6C-BC99-DBD327BA6ED6}">
            <xm:f>OR(AND(B53&lt;&gt;0,IFERROR(VLOOKUP(B53,Listen!$A$1:$A$10,1,FALSE),0)=0),AND(B53=0,D53&lt;&gt;0),AND(B53=0,W53&lt;&gt;0))</xm:f>
            <x14:dxf>
              <fill>
                <patternFill>
                  <bgColor rgb="FFFF0000"/>
                </patternFill>
              </fill>
            </x14:dxf>
          </x14:cfRule>
          <xm:sqref>B53:B64</xm:sqref>
        </x14:conditionalFormatting>
        <x14:conditionalFormatting xmlns:xm="http://schemas.microsoft.com/office/excel/2006/main">
          <x14:cfRule type="expression" priority="9" id="{7F26F379-82BB-4582-9C6F-DD0A6982CAE1}">
            <xm:f>OR($B38=Listen!$A$1,$B38=Listen!$A$2)</xm:f>
            <x14:dxf>
              <fill>
                <patternFill>
                  <bgColor theme="1"/>
                </patternFill>
              </fill>
            </x14:dxf>
          </x14:cfRule>
          <xm:sqref>C38:C49</xm:sqref>
        </x14:conditionalFormatting>
        <x14:conditionalFormatting xmlns:xm="http://schemas.microsoft.com/office/excel/2006/main">
          <x14:cfRule type="expression" priority="2" id="{365161B6-EE20-4374-8735-265DDB01FDDB}">
            <xm:f>AND(J38&lt;&gt;IF(AND(F38&lt;&gt;"",B38="Rückspeisung eN",Allgemeines!$B$29&lt;=2028),$J$21,0) +IF(AND(F38&lt;&gt;"",OR(B38="EEG-nvol",B38="KWKG",B38="Sonstige-nvol"),AND(OR(C38="&lt;= 2022",C38&lt;=2022),Allgemeines!$B$29&lt;=2025)),1,0) +IF(AND(F38&lt;&gt;"",OR(B38="EEG-nvol",B38="KWKG",B38="Sonstige-nvol"),AND(OR(C38="&lt;= 2022",C38&lt;=2022),Allgemeines!$B$29&gt;=2026)),MIN(1,MAX(0,1-(Allgemeines!$B$29-2025)/4)),0) +IF(AND(F38&lt;&gt;"",OR(B38="EEG-vol",B38="Sonstige-vol"),OR(C38="&lt;= 2017",C38&lt;=2017),C38&gt;1900),MIN(1,MAX(0,1-(Allgemeines!$B$29-2017)/3)),0),B38&lt;&gt;"Rückspeisung fN")</xm:f>
            <x14:dxf>
              <fill>
                <patternFill>
                  <bgColor rgb="FFFF0000"/>
                </patternFill>
              </fill>
            </x14:dxf>
          </x14:cfRule>
          <xm:sqref>J38:J49</xm:sqref>
        </x14:conditionalFormatting>
        <x14:conditionalFormatting xmlns:xm="http://schemas.microsoft.com/office/excel/2006/main">
          <x14:cfRule type="expression" priority="1" id="{58418650-29FF-4B8D-85FA-8AEEA9C19B73}">
            <xm:f>AND(J53&lt;&gt;IF(AND(F53&lt;&gt;"",B53="Rückspeisung eN",Allgemeines!$B$29&lt;=2028),$J$21,0) +IF(AND(F53&lt;&gt;"",OR(B53="EEG-nvol",B53="KWKG",B53="Sonstige-nvol"),AND(OR(C53="&lt;= 2022",C53&lt;=2022),Allgemeines!$B$29&lt;=2025)),1,0) +IF(AND(F53&lt;&gt;"",OR(B53="EEG-nvol",B53="KWKG",B53="Sonstige-nvol"),AND(OR(C53="&lt;= 2022",C53&lt;=2022),Allgemeines!$B$29&gt;=2026)),MIN(1,MAX(0,1-(Allgemeines!$B$29-2025)/4)),0) +IF(AND(F53&lt;&gt;"",OR(B53="EEG-vol",B53="Sonstige-vol"),OR(C53="&lt;= 2017",C53&lt;=2017),C53&gt;1900),MIN(1,MAX(0,1-(Allgemeines!$B$29-2017)/3)),0),B53&lt;&gt;"Rückspeisung fN")</xm:f>
            <x14:dxf>
              <fill>
                <patternFill>
                  <bgColor rgb="FFFF0000"/>
                </patternFill>
              </fill>
            </x14:dxf>
          </x14:cfRule>
          <xm:sqref>J53:J64</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0600-000008000000}">
          <x14:formula1>
            <xm:f>Listen!$A$12:$A$14</xm:f>
          </x14:formula1>
          <xm:sqref>U35</xm:sqref>
        </x14:dataValidation>
        <x14:dataValidation type="list" allowBlank="1" showInputMessage="1" showErrorMessage="1" xr:uid="{00000000-0002-0000-0600-000009000000}">
          <x14:formula1>
            <xm:f>Listen!$A$1:$A$9</xm:f>
          </x14:formula1>
          <xm:sqref>B53:B64 B38:B49</xm:sqref>
        </x14:dataValidation>
        <x14:dataValidation type="list" allowBlank="1" showInputMessage="1" showErrorMessage="1" xr:uid="{00000000-0002-0000-0600-00000A000000}">
          <x14:formula1>
            <xm:f>OFFSET(Listen!$B$1:$C$1,MATCH(B53,Listen!$A$1:$A$7,0)-1,0,1,2)</xm:f>
          </x14:formula1>
          <xm:sqref>C53:C64</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8">
    <tabColor rgb="FFFFFF00"/>
  </sheetPr>
  <dimension ref="A1:AE72"/>
  <sheetViews>
    <sheetView topLeftCell="A35" workbookViewId="0">
      <selection activeCell="J53" sqref="J53:J64"/>
    </sheetView>
  </sheetViews>
  <sheetFormatPr baseColWidth="10" defaultColWidth="11.42578125" defaultRowHeight="15" x14ac:dyDescent="0.25"/>
  <cols>
    <col min="1" max="1" width="67.7109375" style="27" customWidth="1"/>
    <col min="2" max="2" width="15.7109375" style="27" customWidth="1"/>
    <col min="3" max="3" width="15.28515625" style="27" customWidth="1"/>
    <col min="4" max="9" width="16.7109375" style="27" customWidth="1"/>
    <col min="10" max="12" width="8.7109375" style="27" customWidth="1"/>
    <col min="13" max="17" width="16.7109375" style="27" customWidth="1"/>
    <col min="18" max="20" width="16" style="27" customWidth="1"/>
    <col min="21" max="21" width="16" style="69" customWidth="1"/>
    <col min="22" max="23" width="16" style="27" customWidth="1"/>
    <col min="24" max="29" width="15.85546875" style="27" customWidth="1"/>
    <col min="30" max="31" width="15.7109375" style="27" customWidth="1"/>
    <col min="32" max="16384" width="11.42578125" style="27"/>
  </cols>
  <sheetData>
    <row r="1" spans="1:30" x14ac:dyDescent="0.25">
      <c r="A1" s="4" t="str">
        <f>'JHL NS'!A1</f>
        <v>XY GmbH</v>
      </c>
      <c r="B1" s="4" t="str">
        <f>+IF(AF!B1="","",AF!B1)</f>
        <v/>
      </c>
      <c r="C1" s="4"/>
      <c r="D1" s="4"/>
      <c r="E1" s="4"/>
      <c r="F1" s="4"/>
      <c r="G1" s="4"/>
      <c r="H1" s="4"/>
      <c r="I1" s="4"/>
      <c r="J1" s="4"/>
      <c r="K1" s="4"/>
      <c r="L1" s="4"/>
      <c r="M1" s="4"/>
      <c r="N1" s="4"/>
      <c r="O1" s="4"/>
      <c r="P1" s="4"/>
      <c r="Q1" s="4"/>
      <c r="R1" s="4"/>
      <c r="S1" s="4"/>
      <c r="T1" s="4"/>
      <c r="U1" s="264"/>
      <c r="V1" s="4"/>
      <c r="W1" s="4"/>
      <c r="X1" s="4"/>
      <c r="Y1" s="4"/>
      <c r="Z1" s="4"/>
      <c r="AA1" s="4"/>
      <c r="AB1" s="4"/>
      <c r="AC1" s="4"/>
      <c r="AD1" s="4"/>
    </row>
    <row r="2" spans="1:30" x14ac:dyDescent="0.25">
      <c r="A2" s="182"/>
      <c r="U2" s="27"/>
    </row>
    <row r="3" spans="1:30" ht="15" customHeight="1" x14ac:dyDescent="0.25">
      <c r="A3" s="41" t="s">
        <v>20</v>
      </c>
      <c r="U3" s="27"/>
      <c r="V3" s="742" t="s">
        <v>289</v>
      </c>
      <c r="W3" s="743"/>
      <c r="X3" s="743"/>
      <c r="Y3" s="743"/>
      <c r="Z3" s="743"/>
      <c r="AA3" s="743"/>
      <c r="AB3" s="743"/>
      <c r="AC3" s="743"/>
      <c r="AD3" s="744"/>
    </row>
    <row r="4" spans="1:30" x14ac:dyDescent="0.25">
      <c r="U4" s="27"/>
      <c r="V4" s="745"/>
      <c r="W4" s="746"/>
      <c r="X4" s="746"/>
      <c r="Y4" s="746"/>
      <c r="Z4" s="746"/>
      <c r="AA4" s="746"/>
      <c r="AB4" s="746"/>
      <c r="AC4" s="746"/>
      <c r="AD4" s="747"/>
    </row>
    <row r="5" spans="1:30" x14ac:dyDescent="0.25">
      <c r="A5" s="265" t="s">
        <v>406</v>
      </c>
      <c r="U5" s="27"/>
      <c r="V5" s="745"/>
      <c r="W5" s="746"/>
      <c r="X5" s="746"/>
      <c r="Y5" s="746"/>
      <c r="Z5" s="746"/>
      <c r="AA5" s="746"/>
      <c r="AB5" s="746"/>
      <c r="AC5" s="746"/>
      <c r="AD5" s="747"/>
    </row>
    <row r="6" spans="1:30" x14ac:dyDescent="0.25">
      <c r="A6" s="41"/>
      <c r="U6" s="27"/>
      <c r="V6" s="745"/>
      <c r="W6" s="746"/>
      <c r="X6" s="746"/>
      <c r="Y6" s="746"/>
      <c r="Z6" s="746"/>
      <c r="AA6" s="746"/>
      <c r="AB6" s="746"/>
      <c r="AC6" s="746"/>
      <c r="AD6" s="747"/>
    </row>
    <row r="7" spans="1:30" x14ac:dyDescent="0.25">
      <c r="A7" s="266"/>
      <c r="B7" s="266"/>
      <c r="C7" s="267" t="s">
        <v>7</v>
      </c>
      <c r="P7" s="69"/>
      <c r="Q7" s="69"/>
      <c r="R7" s="69"/>
      <c r="S7" s="69"/>
      <c r="T7" s="69"/>
      <c r="U7" s="27"/>
      <c r="V7" s="745"/>
      <c r="W7" s="746"/>
      <c r="X7" s="746"/>
      <c r="Y7" s="746"/>
      <c r="Z7" s="746"/>
      <c r="AA7" s="746"/>
      <c r="AB7" s="746"/>
      <c r="AC7" s="746"/>
      <c r="AD7" s="747"/>
    </row>
    <row r="8" spans="1:30" s="174" customFormat="1" ht="16.5" x14ac:dyDescent="0.2">
      <c r="A8" s="268" t="s">
        <v>346</v>
      </c>
      <c r="B8" s="269" t="s">
        <v>25</v>
      </c>
      <c r="C8" s="270">
        <f>(AF!I12+AF!K12+AF!J12)*(1+AF!P12)</f>
        <v>0</v>
      </c>
      <c r="E8" s="173"/>
      <c r="F8" s="173"/>
      <c r="G8" s="173"/>
      <c r="O8" s="271"/>
      <c r="P8" s="272"/>
      <c r="Q8" s="272"/>
      <c r="R8" s="272"/>
      <c r="S8" s="272"/>
      <c r="T8" s="272"/>
      <c r="V8" s="748"/>
      <c r="W8" s="749"/>
      <c r="X8" s="749"/>
      <c r="Y8" s="749"/>
      <c r="Z8" s="749"/>
      <c r="AA8" s="749"/>
      <c r="AB8" s="749"/>
      <c r="AC8" s="749"/>
      <c r="AD8" s="750"/>
    </row>
    <row r="9" spans="1:30" ht="16.5" x14ac:dyDescent="0.3">
      <c r="A9" s="273" t="s">
        <v>142</v>
      </c>
      <c r="B9" s="274" t="s">
        <v>143</v>
      </c>
      <c r="C9" s="275">
        <f>-AF!D12-AF!C12</f>
        <v>0</v>
      </c>
      <c r="E9" s="170"/>
      <c r="O9" s="171"/>
      <c r="P9" s="66"/>
      <c r="Q9" s="66"/>
      <c r="R9" s="66"/>
      <c r="S9" s="66"/>
      <c r="T9" s="66"/>
      <c r="U9" s="276"/>
      <c r="V9" s="66"/>
    </row>
    <row r="10" spans="1:30" ht="16.5" x14ac:dyDescent="0.3">
      <c r="A10" s="277" t="s">
        <v>6</v>
      </c>
      <c r="B10" s="278" t="s">
        <v>160</v>
      </c>
      <c r="C10" s="279">
        <f>MAX(0,C8+C9)</f>
        <v>0</v>
      </c>
      <c r="E10" s="41"/>
      <c r="F10" s="41"/>
      <c r="G10" s="280"/>
      <c r="O10" s="281"/>
      <c r="P10" s="281"/>
      <c r="Q10" s="281"/>
      <c r="R10" s="281"/>
      <c r="S10" s="281"/>
      <c r="T10" s="281"/>
      <c r="U10" s="281"/>
      <c r="V10" s="281"/>
      <c r="W10" s="281"/>
    </row>
    <row r="12" spans="1:30" ht="45" customHeight="1" x14ac:dyDescent="0.25">
      <c r="A12" s="284" t="s">
        <v>144</v>
      </c>
      <c r="B12" s="285" t="s">
        <v>145</v>
      </c>
      <c r="C12" s="286">
        <f>D69</f>
        <v>0</v>
      </c>
      <c r="F12" s="66"/>
      <c r="U12" s="27"/>
      <c r="V12" s="287" t="s">
        <v>382</v>
      </c>
      <c r="W12" s="288" t="s">
        <v>383</v>
      </c>
    </row>
    <row r="13" spans="1:30" ht="15" customHeight="1" x14ac:dyDescent="0.25">
      <c r="B13" s="176"/>
      <c r="P13" s="289" t="s">
        <v>299</v>
      </c>
      <c r="Q13" s="290"/>
      <c r="R13" s="290"/>
      <c r="S13" s="290"/>
      <c r="T13" s="290"/>
      <c r="U13" s="290"/>
      <c r="V13" s="64"/>
      <c r="W13" s="63"/>
    </row>
    <row r="14" spans="1:30" ht="15" customHeight="1" x14ac:dyDescent="0.3">
      <c r="A14" s="291" t="s">
        <v>163</v>
      </c>
      <c r="B14" s="292" t="s">
        <v>28</v>
      </c>
      <c r="C14" s="293">
        <f>IF(C12=0,0,C10/C12)</f>
        <v>0</v>
      </c>
      <c r="P14" s="294" t="s">
        <v>300</v>
      </c>
      <c r="Q14" s="295"/>
      <c r="R14" s="295"/>
      <c r="S14" s="295"/>
      <c r="T14" s="295"/>
      <c r="U14" s="295"/>
      <c r="V14" s="482">
        <f>SUMIF('vermNE HM'!$B$38:$B$49,Listen!A2,'vermNE HM'!$X$38:$X$49)+SUMIF('vermNE HM'!$B$53:$B$64,Listen!A2,'vermNE HM'!$X$53:$X$64)</f>
        <v>0</v>
      </c>
      <c r="W14" s="483">
        <f>SUMIF('vermNE HM'!$B$38:$B$49,Listen!$A$2,'vermNE HM'!$Y$38:$Y$49)</f>
        <v>0</v>
      </c>
    </row>
    <row r="15" spans="1:30" ht="15" customHeight="1" x14ac:dyDescent="0.25">
      <c r="B15" s="176"/>
      <c r="C15" s="70"/>
      <c r="P15" s="296" t="s">
        <v>301</v>
      </c>
      <c r="Q15" s="297"/>
      <c r="R15" s="297"/>
      <c r="S15" s="297"/>
      <c r="T15" s="297"/>
      <c r="U15" s="297"/>
      <c r="V15" s="298">
        <f>V13+V14</f>
        <v>0</v>
      </c>
      <c r="W15" s="299">
        <f>W13+W14</f>
        <v>0</v>
      </c>
    </row>
    <row r="16" spans="1:30" x14ac:dyDescent="0.25">
      <c r="A16" s="300" t="s">
        <v>34</v>
      </c>
      <c r="B16" s="6" t="s">
        <v>1</v>
      </c>
      <c r="C16" s="264"/>
      <c r="D16" s="264"/>
      <c r="P16" s="289" t="s">
        <v>303</v>
      </c>
      <c r="Q16" s="290"/>
      <c r="R16" s="290"/>
      <c r="S16" s="290"/>
      <c r="T16" s="290"/>
      <c r="U16" s="290"/>
      <c r="V16" s="681">
        <f>Q69</f>
        <v>0</v>
      </c>
      <c r="W16" s="682">
        <f>V69</f>
        <v>0</v>
      </c>
    </row>
    <row r="17" spans="1:25" x14ac:dyDescent="0.25">
      <c r="A17" s="266"/>
      <c r="B17" s="301"/>
      <c r="C17" s="267" t="s">
        <v>9</v>
      </c>
      <c r="D17" s="302"/>
      <c r="E17" s="303" t="s">
        <v>50</v>
      </c>
      <c r="F17" s="291" t="s">
        <v>49</v>
      </c>
      <c r="G17" s="304"/>
      <c r="H17" s="304"/>
      <c r="I17" s="304"/>
      <c r="J17" s="304"/>
      <c r="K17" s="304"/>
      <c r="L17" s="304"/>
      <c r="M17" s="304"/>
      <c r="N17" s="305"/>
      <c r="O17" s="306"/>
      <c r="P17" s="307" t="s">
        <v>302</v>
      </c>
      <c r="Q17" s="308"/>
      <c r="R17" s="308"/>
      <c r="S17" s="308"/>
      <c r="T17" s="308"/>
      <c r="U17" s="308"/>
      <c r="V17" s="679">
        <f>V15-V16</f>
        <v>0</v>
      </c>
      <c r="W17" s="680">
        <f>W15-W16</f>
        <v>0</v>
      </c>
    </row>
    <row r="18" spans="1:25" ht="15" customHeight="1" x14ac:dyDescent="0.3">
      <c r="A18" s="266" t="s">
        <v>171</v>
      </c>
      <c r="B18" s="301" t="s">
        <v>156</v>
      </c>
      <c r="C18" s="144">
        <f>'JHL MS'!B18</f>
        <v>0</v>
      </c>
      <c r="D18" s="311" t="s">
        <v>26</v>
      </c>
      <c r="E18" s="157">
        <f>'JHL MS'!F9</f>
        <v>42507</v>
      </c>
      <c r="F18" s="266"/>
      <c r="G18" s="312"/>
      <c r="H18" s="312"/>
      <c r="I18" s="312"/>
      <c r="J18" s="312"/>
      <c r="K18" s="312"/>
      <c r="L18" s="312"/>
      <c r="M18" s="312"/>
      <c r="N18" s="313"/>
      <c r="O18" s="306"/>
      <c r="U18" s="27"/>
      <c r="V18" s="69"/>
    </row>
    <row r="19" spans="1:25" ht="16.5" x14ac:dyDescent="0.3">
      <c r="A19" s="273" t="s">
        <v>15</v>
      </c>
      <c r="B19" s="274" t="s">
        <v>95</v>
      </c>
      <c r="C19" s="116"/>
      <c r="D19" s="314"/>
      <c r="E19" s="40"/>
      <c r="F19" s="315" t="str">
        <f>IF(B16="n","Jahreshöchstlast der Übergabestelle(n) lt. Eingangsrechnung/des Bezugssummenlastgangs","Summe der Jahreshöchstlasten lt. Eingangsrechnungen/Summe der Jahreshöchstlasten der Bezugslastgänge der ungepoolten Übergabestellen")</f>
        <v>Summe der Jahreshöchstlasten lt. Eingangsrechnungen/Summe der Jahreshöchstlasten der Bezugslastgänge der ungepoolten Übergabestellen</v>
      </c>
      <c r="G19" s="4"/>
      <c r="H19" s="4"/>
      <c r="I19" s="4"/>
      <c r="J19" s="4"/>
      <c r="K19" s="4"/>
      <c r="L19" s="4"/>
      <c r="M19" s="4"/>
      <c r="N19" s="316"/>
      <c r="O19" s="306"/>
      <c r="P19" s="291"/>
      <c r="Q19" s="304"/>
      <c r="R19" s="304"/>
      <c r="S19" s="304"/>
      <c r="T19" s="304"/>
      <c r="U19" s="304"/>
      <c r="V19" s="292"/>
      <c r="W19" s="326" t="s">
        <v>9</v>
      </c>
      <c r="X19" s="291"/>
      <c r="Y19" s="305" t="s">
        <v>50</v>
      </c>
    </row>
    <row r="20" spans="1:25" ht="16.5" customHeight="1" x14ac:dyDescent="0.3">
      <c r="A20" s="277" t="s">
        <v>0</v>
      </c>
      <c r="B20" s="317" t="s">
        <v>151</v>
      </c>
      <c r="C20" s="318">
        <f>MAX(C18+C19,0)</f>
        <v>0</v>
      </c>
      <c r="F20" s="319"/>
      <c r="H20" s="320"/>
      <c r="P20" s="266" t="s">
        <v>387</v>
      </c>
      <c r="Q20" s="312"/>
      <c r="R20" s="312"/>
      <c r="S20" s="312"/>
      <c r="U20" s="27"/>
      <c r="V20" s="301" t="s">
        <v>287</v>
      </c>
      <c r="W20" s="115"/>
      <c r="X20" s="301" t="s">
        <v>286</v>
      </c>
      <c r="Y20" s="148"/>
    </row>
    <row r="21" spans="1:25" ht="15" customHeight="1" x14ac:dyDescent="0.3">
      <c r="A21" s="306"/>
      <c r="B21" s="176"/>
      <c r="C21" s="321"/>
      <c r="D21" s="322"/>
      <c r="F21" s="319"/>
      <c r="G21" s="291" t="s">
        <v>424</v>
      </c>
      <c r="H21" s="304"/>
      <c r="I21" s="304"/>
      <c r="J21" s="502">
        <f>'vermNE MN'!U72</f>
        <v>0</v>
      </c>
      <c r="K21" s="502">
        <f>'vermNE MN'!U71</f>
        <v>0</v>
      </c>
      <c r="L21" s="304"/>
      <c r="M21" s="304"/>
      <c r="N21" s="305"/>
      <c r="P21" s="329" t="s">
        <v>285</v>
      </c>
      <c r="U21" s="27"/>
      <c r="V21" s="330" t="s">
        <v>288</v>
      </c>
      <c r="W21" s="113"/>
      <c r="X21" s="333" t="s">
        <v>286</v>
      </c>
      <c r="Y21" s="334">
        <f>Y20</f>
        <v>0</v>
      </c>
    </row>
    <row r="22" spans="1:25" ht="15" customHeight="1" x14ac:dyDescent="0.3">
      <c r="A22" s="266"/>
      <c r="B22" s="301"/>
      <c r="C22" s="323" t="s">
        <v>9</v>
      </c>
      <c r="D22" s="324"/>
      <c r="E22" s="325" t="str">
        <f>E17</f>
        <v>Zeitpunkt</v>
      </c>
      <c r="G22" s="266"/>
      <c r="H22" s="312"/>
      <c r="I22" s="312"/>
      <c r="J22" s="312"/>
      <c r="K22" s="312"/>
      <c r="L22" s="739" t="s">
        <v>376</v>
      </c>
      <c r="M22" s="751" t="s">
        <v>373</v>
      </c>
      <c r="N22" s="753" t="s">
        <v>372</v>
      </c>
      <c r="P22" s="335" t="s">
        <v>388</v>
      </c>
      <c r="Q22" s="4"/>
      <c r="R22" s="4"/>
      <c r="S22" s="4"/>
      <c r="T22" s="4"/>
      <c r="U22" s="4"/>
      <c r="V22" s="274" t="s">
        <v>390</v>
      </c>
      <c r="W22" s="114"/>
      <c r="X22" s="337" t="s">
        <v>286</v>
      </c>
      <c r="Y22" s="338">
        <f t="shared" ref="Y22:Y23" si="0">Y21</f>
        <v>0</v>
      </c>
    </row>
    <row r="23" spans="1:25" ht="15" customHeight="1" x14ac:dyDescent="0.3">
      <c r="A23" s="266" t="s">
        <v>172</v>
      </c>
      <c r="B23" s="301" t="s">
        <v>156</v>
      </c>
      <c r="C23" s="327">
        <f>C18</f>
        <v>0</v>
      </c>
      <c r="D23" s="311" t="s">
        <v>26</v>
      </c>
      <c r="E23" s="328">
        <f>IF($E$18="","",$E$18)</f>
        <v>42507</v>
      </c>
      <c r="G23" s="306"/>
      <c r="L23" s="740"/>
      <c r="M23" s="752"/>
      <c r="N23" s="754"/>
      <c r="P23" s="291" t="s">
        <v>389</v>
      </c>
      <c r="Q23" s="304"/>
      <c r="R23" s="304"/>
      <c r="S23" s="304"/>
      <c r="T23" s="304"/>
      <c r="U23" s="304"/>
      <c r="V23" s="337" t="s">
        <v>391</v>
      </c>
      <c r="W23" s="342">
        <f>SUM(W20:W22)</f>
        <v>0</v>
      </c>
      <c r="X23" s="337" t="s">
        <v>286</v>
      </c>
      <c r="Y23" s="338">
        <f t="shared" si="0"/>
        <v>0</v>
      </c>
    </row>
    <row r="24" spans="1:25" ht="15" customHeight="1" x14ac:dyDescent="0.3">
      <c r="A24" s="329" t="s">
        <v>210</v>
      </c>
      <c r="B24" s="330" t="s">
        <v>173</v>
      </c>
      <c r="C24" s="158">
        <f>-'JHL MS'!B16-'JHL MS'!B15</f>
        <v>0</v>
      </c>
      <c r="D24" s="331" t="s">
        <v>26</v>
      </c>
      <c r="E24" s="332">
        <f>IF($E$18="","",$E$18)</f>
        <v>42507</v>
      </c>
      <c r="G24" s="306"/>
      <c r="L24" s="740"/>
      <c r="M24" s="752"/>
      <c r="N24" s="754"/>
      <c r="W24" s="304"/>
    </row>
    <row r="25" spans="1:25" ht="16.5" customHeight="1" x14ac:dyDescent="0.3">
      <c r="A25" s="335" t="s">
        <v>68</v>
      </c>
      <c r="B25" s="274" t="s">
        <v>147</v>
      </c>
      <c r="C25" s="159">
        <f>-'JHL MS'!B11-'JHL MS'!B12</f>
        <v>0</v>
      </c>
      <c r="D25" s="314" t="s">
        <v>26</v>
      </c>
      <c r="E25" s="336">
        <f>IF($E$18="","",$E$18)</f>
        <v>42507</v>
      </c>
      <c r="G25" s="306"/>
      <c r="L25" s="740"/>
      <c r="M25" s="752"/>
      <c r="N25" s="754"/>
      <c r="P25" s="266" t="s">
        <v>394</v>
      </c>
      <c r="Q25" s="312"/>
      <c r="R25" s="312"/>
      <c r="S25" s="312"/>
      <c r="T25" s="312"/>
      <c r="U25" s="312"/>
      <c r="V25" s="301" t="s">
        <v>290</v>
      </c>
      <c r="W25" s="349">
        <f>IF($C$28=1,
IF($D$67+$D$68&lt;&gt;0,(W23-R$66)/(($D$67+$D$68)/Allgemeines!$B$30),0),
IF($D$67&lt;&gt;0,R67/($D$67/Allgemeines!$B$30),0))</f>
        <v>0</v>
      </c>
    </row>
    <row r="26" spans="1:25" ht="16.5" customHeight="1" x14ac:dyDescent="0.3">
      <c r="A26" s="291" t="s">
        <v>174</v>
      </c>
      <c r="B26" s="292" t="s">
        <v>175</v>
      </c>
      <c r="C26" s="339">
        <f>SUM(C23:C25)</f>
        <v>0</v>
      </c>
      <c r="D26" s="314" t="s">
        <v>26</v>
      </c>
      <c r="E26" s="336">
        <f>IF($E$18="","",$E$18)</f>
        <v>42507</v>
      </c>
      <c r="G26" s="315"/>
      <c r="H26" s="756" t="s">
        <v>375</v>
      </c>
      <c r="I26" s="756"/>
      <c r="J26" s="756"/>
      <c r="K26" s="756"/>
      <c r="L26" s="741"/>
      <c r="M26" s="340" t="s">
        <v>374</v>
      </c>
      <c r="N26" s="341" t="s">
        <v>476</v>
      </c>
      <c r="P26" s="315" t="s">
        <v>395</v>
      </c>
      <c r="Q26" s="4"/>
      <c r="R26" s="4"/>
      <c r="S26" s="4"/>
      <c r="T26" s="4"/>
      <c r="U26" s="4"/>
      <c r="V26" s="337" t="s">
        <v>291</v>
      </c>
      <c r="W26" s="351">
        <f>IF($C$28=1,W25,
IF($D$68&lt;&gt;0,(W23-SUM(R$38:R$49))/($D$68/Allgemeines!$B$30),0))</f>
        <v>0</v>
      </c>
    </row>
    <row r="27" spans="1:25" ht="16.5" customHeight="1" thickBot="1" x14ac:dyDescent="0.3">
      <c r="B27" s="176"/>
      <c r="C27" s="66"/>
      <c r="D27" s="343"/>
      <c r="E27" s="344"/>
      <c r="G27" s="345" t="str">
        <f>CONCATENATE("Preisblatt für ",Allgemeines!B29)</f>
        <v>Preisblatt für 2027</v>
      </c>
      <c r="H27" s="755"/>
      <c r="I27" s="755"/>
      <c r="J27" s="755"/>
      <c r="K27" s="755"/>
      <c r="L27" s="346"/>
      <c r="M27" s="126"/>
      <c r="N27" s="127"/>
    </row>
    <row r="28" spans="1:25" ht="15.75" thickBot="1" x14ac:dyDescent="0.3">
      <c r="A28" s="266" t="s">
        <v>211</v>
      </c>
      <c r="B28" s="301"/>
      <c r="C28" s="347">
        <v>2</v>
      </c>
      <c r="D28" s="343"/>
      <c r="E28" s="319"/>
      <c r="G28" s="348" t="s">
        <v>325</v>
      </c>
      <c r="H28" s="757"/>
      <c r="I28" s="757"/>
      <c r="J28" s="757"/>
      <c r="K28" s="757"/>
      <c r="L28" s="135">
        <v>1</v>
      </c>
      <c r="M28" s="128"/>
      <c r="N28" s="129"/>
      <c r="P28" s="721"/>
      <c r="Q28" s="717" t="s">
        <v>325</v>
      </c>
      <c r="R28" s="718"/>
      <c r="U28" s="27"/>
      <c r="W28" s="553" t="s">
        <v>10</v>
      </c>
    </row>
    <row r="29" spans="1:25" ht="18" x14ac:dyDescent="0.25">
      <c r="A29" s="306" t="s">
        <v>212</v>
      </c>
      <c r="B29" s="333" t="s">
        <v>217</v>
      </c>
      <c r="C29" s="349">
        <f>IF($C$28=1,
IF($D$67+$D$68&lt;&gt;0,($C$26-G$66)/(($D$67+$D$68)/Allgemeines!$B$30),0),
IF($D$67&lt;&gt;0,G67/($D$67/Allgemeines!$B$30),0))</f>
        <v>0</v>
      </c>
      <c r="G29" s="350" t="s">
        <v>325</v>
      </c>
      <c r="H29" s="758"/>
      <c r="I29" s="758"/>
      <c r="J29" s="758"/>
      <c r="K29" s="758"/>
      <c r="L29" s="136"/>
      <c r="M29" s="125"/>
      <c r="N29" s="130"/>
      <c r="P29" s="720"/>
      <c r="Q29" s="440" t="s">
        <v>506</v>
      </c>
      <c r="R29" s="724" t="s">
        <v>507</v>
      </c>
      <c r="T29" s="291" t="s">
        <v>434</v>
      </c>
      <c r="U29" s="304"/>
      <c r="V29" s="304"/>
      <c r="W29" s="560">
        <v>0</v>
      </c>
    </row>
    <row r="30" spans="1:25" ht="18" x14ac:dyDescent="0.25">
      <c r="A30" s="315" t="s">
        <v>213</v>
      </c>
      <c r="B30" s="337" t="s">
        <v>218</v>
      </c>
      <c r="C30" s="351">
        <f>IF($C$28=1,C29,
IF($D$68&lt;&gt;0,($C$26-SUM(H$38:H$49))/($D$68/Allgemeines!$B$30),0))</f>
        <v>0</v>
      </c>
      <c r="D30" s="352"/>
      <c r="G30" s="350" t="s">
        <v>325</v>
      </c>
      <c r="H30" s="758"/>
      <c r="I30" s="758"/>
      <c r="J30" s="758"/>
      <c r="K30" s="758"/>
      <c r="L30" s="136"/>
      <c r="M30" s="125"/>
      <c r="N30" s="130"/>
      <c r="P30" s="716"/>
      <c r="Q30" s="340" t="s">
        <v>374</v>
      </c>
      <c r="R30" s="719" t="s">
        <v>476</v>
      </c>
      <c r="T30" s="306" t="s">
        <v>435</v>
      </c>
      <c r="U30" s="27"/>
      <c r="W30" s="499">
        <f>W29-W31</f>
        <v>0</v>
      </c>
    </row>
    <row r="31" spans="1:25" ht="16.5" x14ac:dyDescent="0.3">
      <c r="A31" s="315" t="s">
        <v>181</v>
      </c>
      <c r="B31" s="337" t="s">
        <v>31</v>
      </c>
      <c r="C31" s="342">
        <f>IF(C26&lt;&gt;0,C20/C26,0)</f>
        <v>0</v>
      </c>
      <c r="D31" s="352"/>
      <c r="G31" s="350" t="s">
        <v>325</v>
      </c>
      <c r="H31" s="758"/>
      <c r="I31" s="758"/>
      <c r="J31" s="758"/>
      <c r="K31" s="758"/>
      <c r="L31" s="136"/>
      <c r="M31" s="125"/>
      <c r="N31" s="130"/>
      <c r="P31" s="714" t="s">
        <v>508</v>
      </c>
      <c r="Q31" s="70">
        <v>58.3</v>
      </c>
      <c r="R31" s="87">
        <v>0.08</v>
      </c>
      <c r="T31" s="315" t="s">
        <v>436</v>
      </c>
      <c r="U31" s="4"/>
      <c r="V31" s="4"/>
      <c r="W31" s="500">
        <f>SUM(MSmL[Spalte222])+SUM(MSoL[Spalte222])</f>
        <v>0</v>
      </c>
    </row>
    <row r="32" spans="1:25" ht="15.75" thickBot="1" x14ac:dyDescent="0.3">
      <c r="B32" s="176"/>
      <c r="C32" s="321"/>
      <c r="D32" s="352"/>
      <c r="G32" s="353" t="s">
        <v>325</v>
      </c>
      <c r="H32" s="759"/>
      <c r="I32" s="759"/>
      <c r="J32" s="759"/>
      <c r="K32" s="759"/>
      <c r="L32" s="137"/>
      <c r="M32" s="131"/>
      <c r="N32" s="132"/>
      <c r="P32" s="715" t="s">
        <v>509</v>
      </c>
      <c r="Q32" s="722">
        <v>79.739999999999995</v>
      </c>
      <c r="R32" s="723">
        <v>0.09</v>
      </c>
    </row>
    <row r="33" spans="1:31" x14ac:dyDescent="0.25">
      <c r="B33" s="176"/>
      <c r="C33" s="321"/>
      <c r="D33" s="352"/>
      <c r="U33" s="27"/>
    </row>
    <row r="34" spans="1:31" ht="15.75" thickBot="1" x14ac:dyDescent="0.3">
      <c r="A34" s="354" t="s">
        <v>416</v>
      </c>
      <c r="B34" s="355"/>
      <c r="C34" s="355"/>
      <c r="D34" s="355"/>
      <c r="E34" s="355"/>
      <c r="F34" s="355"/>
      <c r="G34" s="356"/>
      <c r="H34" s="356"/>
      <c r="I34" s="356"/>
      <c r="J34" s="356"/>
      <c r="K34" s="356"/>
      <c r="L34" s="356"/>
      <c r="M34" s="357"/>
      <c r="N34" s="355"/>
      <c r="O34" s="355"/>
      <c r="P34" s="355"/>
      <c r="Q34" s="355"/>
      <c r="R34" s="355"/>
      <c r="S34" s="355"/>
      <c r="T34" s="355"/>
      <c r="U34" s="355"/>
      <c r="V34" s="355"/>
      <c r="W34" s="355"/>
      <c r="X34" s="355"/>
      <c r="Y34" s="355"/>
      <c r="Z34" s="356"/>
      <c r="AA34" s="356"/>
      <c r="AB34" s="355"/>
      <c r="AC34" s="355"/>
      <c r="AD34" s="355"/>
      <c r="AE34" s="355"/>
    </row>
    <row r="35" spans="1:31" s="69" customFormat="1" ht="90.75" x14ac:dyDescent="0.3">
      <c r="A35" s="358" t="s">
        <v>331</v>
      </c>
      <c r="B35" s="359" t="s">
        <v>369</v>
      </c>
      <c r="C35" s="359" t="s">
        <v>321</v>
      </c>
      <c r="D35" s="359" t="s">
        <v>8</v>
      </c>
      <c r="E35" s="360" t="s">
        <v>29</v>
      </c>
      <c r="F35" s="361" t="s">
        <v>2</v>
      </c>
      <c r="G35" s="359" t="s">
        <v>384</v>
      </c>
      <c r="H35" s="362" t="s">
        <v>385</v>
      </c>
      <c r="I35" s="363" t="s">
        <v>386</v>
      </c>
      <c r="J35" s="364" t="s">
        <v>363</v>
      </c>
      <c r="K35" s="364" t="s">
        <v>364</v>
      </c>
      <c r="L35" s="364" t="s">
        <v>376</v>
      </c>
      <c r="M35" s="364" t="s">
        <v>330</v>
      </c>
      <c r="N35" s="365" t="s">
        <v>254</v>
      </c>
      <c r="O35" s="366" t="s">
        <v>255</v>
      </c>
      <c r="P35" s="367" t="s">
        <v>318</v>
      </c>
      <c r="Q35" s="368" t="s">
        <v>256</v>
      </c>
      <c r="R35" s="359" t="s">
        <v>502</v>
      </c>
      <c r="S35" s="359" t="s">
        <v>501</v>
      </c>
      <c r="T35" s="369" t="s">
        <v>397</v>
      </c>
      <c r="U35" s="117" t="s">
        <v>298</v>
      </c>
      <c r="V35" s="368" t="s">
        <v>257</v>
      </c>
      <c r="W35" s="554" t="s">
        <v>439</v>
      </c>
      <c r="X35" s="656" t="s">
        <v>258</v>
      </c>
      <c r="Y35" s="657" t="s">
        <v>259</v>
      </c>
      <c r="Z35" s="365" t="str">
        <f>CONCATENATE("vermNE
Arbeit
ohne Rückspeisung
Preisblatt
für ",Allgemeines!B29)</f>
        <v>vermNE
Arbeit
ohne Rückspeisung
Preisblatt
für 2027</v>
      </c>
      <c r="AA35" s="365" t="str">
        <f>CONCATENATE("vermNE 
Leistung
ohne Rückspeisung
Preisblatt 
für ",Allgemeines!B29)</f>
        <v>vermNE 
Leistung
ohne Rückspeisung
Preisblatt 
für 2027</v>
      </c>
      <c r="AB35" s="370" t="str">
        <f>CONCATENATE("vermNE 
ohne Rückspeisung
Preisblatt 
für ",Allgemeines!B29)</f>
        <v>vermNE 
ohne Rückspeisung
Preisblatt 
für 2027</v>
      </c>
      <c r="AC35" s="365" t="s">
        <v>370</v>
      </c>
      <c r="AD35" s="368" t="s">
        <v>371</v>
      </c>
      <c r="AE35" s="366" t="s">
        <v>326</v>
      </c>
    </row>
    <row r="36" spans="1:31" s="69" customFormat="1" ht="15.75" thickBot="1" x14ac:dyDescent="0.3">
      <c r="A36" s="371"/>
      <c r="B36" s="372"/>
      <c r="C36" s="372"/>
      <c r="D36" s="372" t="s">
        <v>7</v>
      </c>
      <c r="E36" s="373" t="s">
        <v>7</v>
      </c>
      <c r="F36" s="374"/>
      <c r="G36" s="375" t="s">
        <v>9</v>
      </c>
      <c r="H36" s="375" t="s">
        <v>9</v>
      </c>
      <c r="I36" s="376" t="s">
        <v>9</v>
      </c>
      <c r="J36" s="377"/>
      <c r="K36" s="378"/>
      <c r="L36" s="378"/>
      <c r="M36" s="378"/>
      <c r="N36" s="379" t="s">
        <v>10</v>
      </c>
      <c r="O36" s="380" t="s">
        <v>10</v>
      </c>
      <c r="P36" s="381" t="s">
        <v>7</v>
      </c>
      <c r="Q36" s="382" t="s">
        <v>10</v>
      </c>
      <c r="R36" s="375" t="s">
        <v>9</v>
      </c>
      <c r="S36" s="375" t="s">
        <v>9</v>
      </c>
      <c r="T36" s="383" t="s">
        <v>9</v>
      </c>
      <c r="U36" s="372" t="str">
        <f>CHOOSE(RIGHT(U$35,1),P36,R36,T36)</f>
        <v>[kW]</v>
      </c>
      <c r="V36" s="382" t="s">
        <v>10</v>
      </c>
      <c r="W36" s="555" t="s">
        <v>10</v>
      </c>
      <c r="X36" s="658" t="s">
        <v>10</v>
      </c>
      <c r="Y36" s="659" t="s">
        <v>10</v>
      </c>
      <c r="Z36" s="379" t="s">
        <v>10</v>
      </c>
      <c r="AA36" s="379" t="s">
        <v>10</v>
      </c>
      <c r="AB36" s="384" t="s">
        <v>10</v>
      </c>
      <c r="AC36" s="379" t="s">
        <v>10</v>
      </c>
      <c r="AD36" s="382" t="s">
        <v>10</v>
      </c>
      <c r="AE36" s="380" t="s">
        <v>10</v>
      </c>
    </row>
    <row r="37" spans="1:31" s="69" customFormat="1" ht="15" hidden="1" customHeight="1" thickBot="1" x14ac:dyDescent="0.3">
      <c r="A37" s="385" t="s">
        <v>261</v>
      </c>
      <c r="B37" s="386" t="s">
        <v>262</v>
      </c>
      <c r="C37" s="386" t="s">
        <v>263</v>
      </c>
      <c r="D37" s="386" t="s">
        <v>264</v>
      </c>
      <c r="E37" s="387" t="s">
        <v>265</v>
      </c>
      <c r="F37" s="388" t="s">
        <v>266</v>
      </c>
      <c r="G37" s="386" t="s">
        <v>409</v>
      </c>
      <c r="H37" s="389" t="s">
        <v>410</v>
      </c>
      <c r="I37" s="390" t="s">
        <v>267</v>
      </c>
      <c r="J37" s="391" t="s">
        <v>268</v>
      </c>
      <c r="K37" s="391" t="s">
        <v>269</v>
      </c>
      <c r="L37" s="391" t="s">
        <v>270</v>
      </c>
      <c r="M37" s="391" t="s">
        <v>271</v>
      </c>
      <c r="N37" s="392" t="s">
        <v>272</v>
      </c>
      <c r="O37" s="393" t="s">
        <v>273</v>
      </c>
      <c r="P37" s="394" t="s">
        <v>274</v>
      </c>
      <c r="Q37" s="395" t="s">
        <v>275</v>
      </c>
      <c r="R37" s="386" t="s">
        <v>276</v>
      </c>
      <c r="S37" s="386" t="s">
        <v>277</v>
      </c>
      <c r="T37" s="396" t="s">
        <v>278</v>
      </c>
      <c r="U37" s="154" t="s">
        <v>319</v>
      </c>
      <c r="V37" s="395" t="s">
        <v>320</v>
      </c>
      <c r="W37" s="392" t="s">
        <v>438</v>
      </c>
      <c r="X37" s="660" t="s">
        <v>327</v>
      </c>
      <c r="Y37" s="661" t="s">
        <v>339</v>
      </c>
      <c r="Z37" s="392" t="s">
        <v>340</v>
      </c>
      <c r="AA37" s="392" t="s">
        <v>341</v>
      </c>
      <c r="AB37" s="397" t="s">
        <v>342</v>
      </c>
      <c r="AC37" s="392" t="s">
        <v>343</v>
      </c>
      <c r="AD37" s="395" t="s">
        <v>344</v>
      </c>
      <c r="AE37" s="393" t="s">
        <v>345</v>
      </c>
    </row>
    <row r="38" spans="1:31" x14ac:dyDescent="0.25">
      <c r="A38" s="149"/>
      <c r="B38" s="1"/>
      <c r="C38" s="1"/>
      <c r="D38" s="150"/>
      <c r="E38" s="398">
        <f>D38*$C$14</f>
        <v>0</v>
      </c>
      <c r="F38" s="5"/>
      <c r="G38" s="111"/>
      <c r="H38" s="399">
        <f>IF($F38="j",$D38/Allgemeines!$B$30*$C$29,G38)</f>
        <v>0</v>
      </c>
      <c r="I38" s="400">
        <f>H38*$C$31</f>
        <v>0</v>
      </c>
      <c r="J38" s="139">
        <f>IF(AND(F38&lt;&gt;"",B38="Rückspeisung eN",Allgemeines!$B$29&lt;=2028),$J$21,0)
+IF(AND(F38&lt;&gt;"",OR(B38="EEG-nvol",B38="KWKG",B38="Sonstige-nvol"),AND(OR(C38="&lt;= 2022",C38&lt;=2022),Allgemeines!$B$29&lt;=2025)),1,0)
+IF(AND(F38&lt;&gt;"",OR(B38="EEG-nvol",B38="KWKG",B38="Sonstige-nvol"),AND(OR(C38="&lt;= 2022",C38&lt;=2022),Allgemeines!$B$29&gt;=2026)),1-(Allgemeines!$B$29-2025)/4,0)
+IF(AND(F38&lt;&gt;"",OR(B38="EEG-vol",B38="Sonstige-vol"),OR(C38="&lt;= 2017",C38&lt;=2017),C38&gt;1900),MIN(1,MAX(0,1-(Allgemeines!$B$29-2017)/3)),0)</f>
        <v>0</v>
      </c>
      <c r="K38" s="139">
        <f t="shared" ref="K38:K49" si="1">IF(B38="Rückspeisung eN",$K$21,J38)</f>
        <v>0</v>
      </c>
      <c r="L38" s="138"/>
      <c r="M38" s="401" t="str">
        <f t="shared" ref="M38:M49" si="2">IF(MAX($AE38,$AB38)&gt;0,
IF($AE38&lt;$AB38,"R","A"),"")</f>
        <v/>
      </c>
      <c r="N38" s="402">
        <f t="shared" ref="N38:N49" si="3">IF($AE38&lt;$AB38,AC38,Z38)</f>
        <v>0</v>
      </c>
      <c r="O38" s="403">
        <f t="shared" ref="O38:O49" si="4">IF($AE38&lt;$AB38,AD38,AA38)</f>
        <v>0</v>
      </c>
      <c r="P38" s="404">
        <f t="shared" ref="P38:P49" si="5">D38*J38</f>
        <v>0</v>
      </c>
      <c r="Q38" s="405">
        <f t="shared" ref="Q38:Q49" si="6">IF($P$69&gt;0,$V$15*P38/$P$69,0)</f>
        <v>0</v>
      </c>
      <c r="R38" s="111"/>
      <c r="S38" s="399">
        <f>IF($F38="j",$D38/Allgemeines!$B$30*W$25,R38)*$K38</f>
        <v>0</v>
      </c>
      <c r="T38" s="406">
        <f t="shared" ref="T38:T49" si="7">H38*K38</f>
        <v>0</v>
      </c>
      <c r="U38" s="399">
        <f t="shared" ref="U38:U49" si="8">CHOOSE(RIGHT(U$35,1),P38,S38,T38)</f>
        <v>0</v>
      </c>
      <c r="V38" s="405">
        <f t="shared" ref="V38:V49" si="9">IF($U$69&gt;0,$W$15*U38/$U$69,0)</f>
        <v>0</v>
      </c>
      <c r="W38" s="558"/>
      <c r="X38" s="672">
        <f t="shared" ref="X38:X49" si="10">N38+Q38</f>
        <v>0</v>
      </c>
      <c r="Y38" s="663">
        <f t="shared" ref="Y38:Y49" si="11">O38+V38</f>
        <v>0</v>
      </c>
      <c r="Z38" s="402">
        <f t="shared" ref="Z38:Z49" si="12">IF(L38&lt;&gt;0,E38*M$27/100*$J38,0)</f>
        <v>0</v>
      </c>
      <c r="AA38" s="408">
        <f t="shared" ref="AA38:AA49" si="13">IF(AND(F38&lt;&gt;"",L38&lt;&gt;0),I38*N$27*$K38,0)</f>
        <v>0</v>
      </c>
      <c r="AB38" s="409">
        <f>Z38+AA38</f>
        <v>0</v>
      </c>
      <c r="AC38" s="402">
        <f t="shared" ref="AC38:AC49" si="14">IF(L38&lt;&gt;"",E38*IFERROR(VLOOKUP(L38,$L$28:$N$32,2,FALSE),0)/100*$J38,0)</f>
        <v>0</v>
      </c>
      <c r="AD38" s="408">
        <f t="shared" ref="AD38:AD49" si="15">IF(AND(F38&lt;&gt;"",L38&lt;&gt;""),I38*IFERROR(VLOOKUP(L38,$L$28:$N$32,3,FALSE),0)*$K38,0)</f>
        <v>0</v>
      </c>
      <c r="AE38" s="410">
        <f>AC38+AD38</f>
        <v>0</v>
      </c>
    </row>
    <row r="39" spans="1:31" x14ac:dyDescent="0.25">
      <c r="A39" s="133"/>
      <c r="B39" s="1"/>
      <c r="C39" s="1"/>
      <c r="D39" s="30"/>
      <c r="E39" s="398">
        <f t="shared" ref="E39:E49" si="16">D39*$C$14</f>
        <v>0</v>
      </c>
      <c r="F39" s="5"/>
      <c r="G39" s="111"/>
      <c r="H39" s="321">
        <f>IF(F39="j",D39/Allgemeines!$B$30*$C$29,G39)</f>
        <v>0</v>
      </c>
      <c r="I39" s="411">
        <f t="shared" ref="I39:I49" si="17">H39*$C$31</f>
        <v>0</v>
      </c>
      <c r="J39" s="139">
        <f>IF(AND(F39&lt;&gt;"",B39="Rückspeisung eN",Allgemeines!$B$29&lt;=2028),$J$21,0)
+IF(AND(F39&lt;&gt;"",OR(B39="EEG-nvol",B39="KWKG",B39="Sonstige-nvol"),AND(OR(C39="&lt;= 2022",C39&lt;=2022),Allgemeines!$B$29&lt;=2025)),1,0)
+IF(AND(F39&lt;&gt;"",OR(B39="EEG-nvol",B39="KWKG",B39="Sonstige-nvol"),AND(OR(C39="&lt;= 2022",C39&lt;=2022),Allgemeines!$B$29&gt;=2026)),1-(Allgemeines!$B$29-2025)/4,0)
+IF(AND(F39&lt;&gt;"",OR(B39="EEG-vol",B39="Sonstige-vol"),OR(C39="&lt;= 2017",C39&lt;=2017),C39&gt;1900),MIN(1,MAX(0,1-(Allgemeines!$B$29-2017)/3)),0)</f>
        <v>0</v>
      </c>
      <c r="K39" s="139">
        <f t="shared" si="1"/>
        <v>0</v>
      </c>
      <c r="L39" s="138"/>
      <c r="M39" s="69" t="str">
        <f t="shared" si="2"/>
        <v/>
      </c>
      <c r="N39" s="402">
        <f t="shared" si="3"/>
        <v>0</v>
      </c>
      <c r="O39" s="403">
        <f t="shared" si="4"/>
        <v>0</v>
      </c>
      <c r="P39" s="404">
        <f t="shared" si="5"/>
        <v>0</v>
      </c>
      <c r="Q39" s="405">
        <f t="shared" si="6"/>
        <v>0</v>
      </c>
      <c r="R39" s="111"/>
      <c r="S39" s="321">
        <f>IF($F39="j",$D39/Allgemeines!$B$30*W$25,R39)*$K39</f>
        <v>0</v>
      </c>
      <c r="T39" s="406">
        <f t="shared" si="7"/>
        <v>0</v>
      </c>
      <c r="U39" s="399">
        <f t="shared" si="8"/>
        <v>0</v>
      </c>
      <c r="V39" s="405">
        <f t="shared" si="9"/>
        <v>0</v>
      </c>
      <c r="W39" s="558"/>
      <c r="X39" s="662">
        <f t="shared" si="10"/>
        <v>0</v>
      </c>
      <c r="Y39" s="663">
        <f t="shared" si="11"/>
        <v>0</v>
      </c>
      <c r="Z39" s="402">
        <f t="shared" si="12"/>
        <v>0</v>
      </c>
      <c r="AA39" s="408">
        <f t="shared" si="13"/>
        <v>0</v>
      </c>
      <c r="AB39" s="409">
        <f t="shared" ref="AB39:AB49" si="18">Z39+AA39</f>
        <v>0</v>
      </c>
      <c r="AC39" s="402">
        <f t="shared" si="14"/>
        <v>0</v>
      </c>
      <c r="AD39" s="405">
        <f t="shared" si="15"/>
        <v>0</v>
      </c>
      <c r="AE39" s="412">
        <f t="shared" ref="AE39:AE49" si="19">AC39+AD39</f>
        <v>0</v>
      </c>
    </row>
    <row r="40" spans="1:31" x14ac:dyDescent="0.25">
      <c r="A40" s="133"/>
      <c r="B40" s="1"/>
      <c r="C40" s="1"/>
      <c r="D40" s="2"/>
      <c r="E40" s="398">
        <f t="shared" si="16"/>
        <v>0</v>
      </c>
      <c r="F40" s="5"/>
      <c r="G40" s="111"/>
      <c r="H40" s="321">
        <f>IF(F40="j",D40/Allgemeines!$B$30*$C$29,G40)</f>
        <v>0</v>
      </c>
      <c r="I40" s="411">
        <f t="shared" si="17"/>
        <v>0</v>
      </c>
      <c r="J40" s="139">
        <f>IF(AND(F40&lt;&gt;"",B40="Rückspeisung eN",Allgemeines!$B$29&lt;=2028),$J$21,0)
+IF(AND(F40&lt;&gt;"",OR(B40="EEG-nvol",B40="KWKG",B40="Sonstige-nvol"),AND(OR(C40="&lt;= 2022",C40&lt;=2022),Allgemeines!$B$29&lt;=2025)),1,0)
+IF(AND(F40&lt;&gt;"",OR(B40="EEG-nvol",B40="KWKG",B40="Sonstige-nvol"),AND(OR(C40="&lt;= 2022",C40&lt;=2022),Allgemeines!$B$29&gt;=2026)),1-(Allgemeines!$B$29-2025)/4,0)
+IF(AND(F40&lt;&gt;"",OR(B40="EEG-vol",B40="Sonstige-vol"),OR(C40="&lt;= 2017",C40&lt;=2017),C40&gt;1900),MIN(1,MAX(0,1-(Allgemeines!$B$29-2017)/3)),0)</f>
        <v>0</v>
      </c>
      <c r="K40" s="139">
        <f t="shared" si="1"/>
        <v>0</v>
      </c>
      <c r="L40" s="138"/>
      <c r="M40" s="71" t="str">
        <f t="shared" si="2"/>
        <v/>
      </c>
      <c r="N40" s="402">
        <f t="shared" si="3"/>
        <v>0</v>
      </c>
      <c r="O40" s="403">
        <f t="shared" si="4"/>
        <v>0</v>
      </c>
      <c r="P40" s="404">
        <f t="shared" si="5"/>
        <v>0</v>
      </c>
      <c r="Q40" s="405">
        <f t="shared" si="6"/>
        <v>0</v>
      </c>
      <c r="R40" s="111"/>
      <c r="S40" s="321">
        <f>IF($F40="j",$D40/Allgemeines!$B$30*W$25,R40)*$K40</f>
        <v>0</v>
      </c>
      <c r="T40" s="406">
        <f t="shared" si="7"/>
        <v>0</v>
      </c>
      <c r="U40" s="399">
        <f t="shared" si="8"/>
        <v>0</v>
      </c>
      <c r="V40" s="405">
        <f t="shared" si="9"/>
        <v>0</v>
      </c>
      <c r="W40" s="558"/>
      <c r="X40" s="662">
        <f t="shared" si="10"/>
        <v>0</v>
      </c>
      <c r="Y40" s="663">
        <f t="shared" si="11"/>
        <v>0</v>
      </c>
      <c r="Z40" s="402">
        <f t="shared" si="12"/>
        <v>0</v>
      </c>
      <c r="AA40" s="408">
        <f t="shared" si="13"/>
        <v>0</v>
      </c>
      <c r="AB40" s="409">
        <f t="shared" si="18"/>
        <v>0</v>
      </c>
      <c r="AC40" s="402">
        <f t="shared" si="14"/>
        <v>0</v>
      </c>
      <c r="AD40" s="405">
        <f t="shared" si="15"/>
        <v>0</v>
      </c>
      <c r="AE40" s="412">
        <f t="shared" si="19"/>
        <v>0</v>
      </c>
    </row>
    <row r="41" spans="1:31" x14ac:dyDescent="0.25">
      <c r="A41" s="133"/>
      <c r="B41" s="1"/>
      <c r="C41" s="1"/>
      <c r="D41" s="2"/>
      <c r="E41" s="398">
        <f t="shared" si="16"/>
        <v>0</v>
      </c>
      <c r="F41" s="5"/>
      <c r="G41" s="111"/>
      <c r="H41" s="321">
        <f>IF(F41="j",D41/Allgemeines!$B$30*$C$29,G41)</f>
        <v>0</v>
      </c>
      <c r="I41" s="411">
        <f t="shared" si="17"/>
        <v>0</v>
      </c>
      <c r="J41" s="139">
        <f>IF(AND(F41&lt;&gt;"",B41="Rückspeisung eN",Allgemeines!$B$29&lt;=2028),$J$21,0)
+IF(AND(F41&lt;&gt;"",OR(B41="EEG-nvol",B41="KWKG",B41="Sonstige-nvol"),AND(OR(C41="&lt;= 2022",C41&lt;=2022),Allgemeines!$B$29&lt;=2025)),1,0)
+IF(AND(F41&lt;&gt;"",OR(B41="EEG-nvol",B41="KWKG",B41="Sonstige-nvol"),AND(OR(C41="&lt;= 2022",C41&lt;=2022),Allgemeines!$B$29&gt;=2026)),1-(Allgemeines!$B$29-2025)/4,0)
+IF(AND(F41&lt;&gt;"",OR(B41="EEG-vol",B41="Sonstige-vol"),OR(C41="&lt;= 2017",C41&lt;=2017),C41&gt;1900),MIN(1,MAX(0,1-(Allgemeines!$B$29-2017)/3)),0)</f>
        <v>0</v>
      </c>
      <c r="K41" s="139">
        <f t="shared" si="1"/>
        <v>0</v>
      </c>
      <c r="L41" s="138"/>
      <c r="M41" s="71" t="str">
        <f t="shared" si="2"/>
        <v/>
      </c>
      <c r="N41" s="402">
        <f t="shared" si="3"/>
        <v>0</v>
      </c>
      <c r="O41" s="403">
        <f t="shared" si="4"/>
        <v>0</v>
      </c>
      <c r="P41" s="404">
        <f t="shared" si="5"/>
        <v>0</v>
      </c>
      <c r="Q41" s="405">
        <f t="shared" si="6"/>
        <v>0</v>
      </c>
      <c r="R41" s="111"/>
      <c r="S41" s="321">
        <f>IF($F41="j",$D41/Allgemeines!$B$30*W$25,R41)*$K41</f>
        <v>0</v>
      </c>
      <c r="T41" s="406">
        <f t="shared" si="7"/>
        <v>0</v>
      </c>
      <c r="U41" s="399">
        <f t="shared" si="8"/>
        <v>0</v>
      </c>
      <c r="V41" s="405">
        <f t="shared" si="9"/>
        <v>0</v>
      </c>
      <c r="W41" s="558"/>
      <c r="X41" s="662">
        <f t="shared" si="10"/>
        <v>0</v>
      </c>
      <c r="Y41" s="663">
        <f t="shared" si="11"/>
        <v>0</v>
      </c>
      <c r="Z41" s="402">
        <f t="shared" si="12"/>
        <v>0</v>
      </c>
      <c r="AA41" s="408">
        <f t="shared" si="13"/>
        <v>0</v>
      </c>
      <c r="AB41" s="409">
        <f t="shared" si="18"/>
        <v>0</v>
      </c>
      <c r="AC41" s="402">
        <f t="shared" si="14"/>
        <v>0</v>
      </c>
      <c r="AD41" s="405">
        <f t="shared" si="15"/>
        <v>0</v>
      </c>
      <c r="AE41" s="412">
        <f t="shared" si="19"/>
        <v>0</v>
      </c>
    </row>
    <row r="42" spans="1:31" x14ac:dyDescent="0.25">
      <c r="A42" s="133"/>
      <c r="B42" s="1"/>
      <c r="C42" s="1"/>
      <c r="D42" s="2"/>
      <c r="E42" s="398">
        <f t="shared" si="16"/>
        <v>0</v>
      </c>
      <c r="F42" s="5"/>
      <c r="G42" s="111"/>
      <c r="H42" s="321">
        <f>IF(F42="j",D42/Allgemeines!$B$30*$C$29,G42)</f>
        <v>0</v>
      </c>
      <c r="I42" s="411">
        <f t="shared" si="17"/>
        <v>0</v>
      </c>
      <c r="J42" s="139">
        <f>IF(AND(F42&lt;&gt;"",B42="Rückspeisung eN",Allgemeines!$B$29&lt;=2028),$J$21,0)
+IF(AND(F42&lt;&gt;"",OR(B42="EEG-nvol",B42="KWKG",B42="Sonstige-nvol"),AND(OR(C42="&lt;= 2022",C42&lt;=2022),Allgemeines!$B$29&lt;=2025)),1,0)
+IF(AND(F42&lt;&gt;"",OR(B42="EEG-nvol",B42="KWKG",B42="Sonstige-nvol"),AND(OR(C42="&lt;= 2022",C42&lt;=2022),Allgemeines!$B$29&gt;=2026)),1-(Allgemeines!$B$29-2025)/4,0)
+IF(AND(F42&lt;&gt;"",OR(B42="EEG-vol",B42="Sonstige-vol"),OR(C42="&lt;= 2017",C42&lt;=2017),C42&gt;1900),MIN(1,MAX(0,1-(Allgemeines!$B$29-2017)/3)),0)</f>
        <v>0</v>
      </c>
      <c r="K42" s="139">
        <f t="shared" si="1"/>
        <v>0</v>
      </c>
      <c r="L42" s="138"/>
      <c r="M42" s="71" t="str">
        <f t="shared" si="2"/>
        <v/>
      </c>
      <c r="N42" s="402">
        <f t="shared" si="3"/>
        <v>0</v>
      </c>
      <c r="O42" s="403">
        <f t="shared" si="4"/>
        <v>0</v>
      </c>
      <c r="P42" s="404">
        <f t="shared" si="5"/>
        <v>0</v>
      </c>
      <c r="Q42" s="405">
        <f t="shared" si="6"/>
        <v>0</v>
      </c>
      <c r="R42" s="111"/>
      <c r="S42" s="321">
        <f>IF($F42="j",$D42/Allgemeines!$B$30*W$25,R42)*$K42</f>
        <v>0</v>
      </c>
      <c r="T42" s="406">
        <f t="shared" si="7"/>
        <v>0</v>
      </c>
      <c r="U42" s="399">
        <f t="shared" si="8"/>
        <v>0</v>
      </c>
      <c r="V42" s="405">
        <f t="shared" si="9"/>
        <v>0</v>
      </c>
      <c r="W42" s="558"/>
      <c r="X42" s="662">
        <f t="shared" si="10"/>
        <v>0</v>
      </c>
      <c r="Y42" s="663">
        <f t="shared" si="11"/>
        <v>0</v>
      </c>
      <c r="Z42" s="402">
        <f t="shared" si="12"/>
        <v>0</v>
      </c>
      <c r="AA42" s="408">
        <f t="shared" si="13"/>
        <v>0</v>
      </c>
      <c r="AB42" s="409">
        <f t="shared" si="18"/>
        <v>0</v>
      </c>
      <c r="AC42" s="402">
        <f t="shared" si="14"/>
        <v>0</v>
      </c>
      <c r="AD42" s="405">
        <f t="shared" si="15"/>
        <v>0</v>
      </c>
      <c r="AE42" s="412">
        <f t="shared" si="19"/>
        <v>0</v>
      </c>
    </row>
    <row r="43" spans="1:31" x14ac:dyDescent="0.25">
      <c r="A43" s="134"/>
      <c r="B43" s="1"/>
      <c r="C43" s="1"/>
      <c r="D43" s="2"/>
      <c r="E43" s="398">
        <f>D43*$C$14</f>
        <v>0</v>
      </c>
      <c r="F43" s="5"/>
      <c r="G43" s="111"/>
      <c r="H43" s="321">
        <f>IF(F43="j",D43/Allgemeines!$B$30*$C$29,G43)</f>
        <v>0</v>
      </c>
      <c r="I43" s="411">
        <f t="shared" si="17"/>
        <v>0</v>
      </c>
      <c r="J43" s="139">
        <f>IF(AND(F43&lt;&gt;"",B43="Rückspeisung eN",Allgemeines!$B$29&lt;=2028),$J$21,0)
+IF(AND(F43&lt;&gt;"",OR(B43="EEG-nvol",B43="KWKG",B43="Sonstige-nvol"),AND(OR(C43="&lt;= 2022",C43&lt;=2022),Allgemeines!$B$29&lt;=2025)),1,0)
+IF(AND(F43&lt;&gt;"",OR(B43="EEG-nvol",B43="KWKG",B43="Sonstige-nvol"),AND(OR(C43="&lt;= 2022",C43&lt;=2022),Allgemeines!$B$29&gt;=2026)),1-(Allgemeines!$B$29-2025)/4,0)
+IF(AND(F43&lt;&gt;"",OR(B43="EEG-vol",B43="Sonstige-vol"),OR(C43="&lt;= 2017",C43&lt;=2017),C43&gt;1900),MIN(1,MAX(0,1-(Allgemeines!$B$29-2017)/3)),0)</f>
        <v>0</v>
      </c>
      <c r="K43" s="139">
        <f t="shared" si="1"/>
        <v>0</v>
      </c>
      <c r="L43" s="138"/>
      <c r="M43" s="71" t="str">
        <f t="shared" si="2"/>
        <v/>
      </c>
      <c r="N43" s="402">
        <f t="shared" si="3"/>
        <v>0</v>
      </c>
      <c r="O43" s="403">
        <f t="shared" si="4"/>
        <v>0</v>
      </c>
      <c r="P43" s="404">
        <f t="shared" si="5"/>
        <v>0</v>
      </c>
      <c r="Q43" s="405">
        <f t="shared" si="6"/>
        <v>0</v>
      </c>
      <c r="R43" s="111"/>
      <c r="S43" s="321">
        <f>IF($F43="j",$D43/Allgemeines!$B$30*W$25,R43)*$K43</f>
        <v>0</v>
      </c>
      <c r="T43" s="406">
        <f t="shared" si="7"/>
        <v>0</v>
      </c>
      <c r="U43" s="399">
        <f t="shared" si="8"/>
        <v>0</v>
      </c>
      <c r="V43" s="405">
        <f t="shared" si="9"/>
        <v>0</v>
      </c>
      <c r="W43" s="558"/>
      <c r="X43" s="662">
        <f t="shared" si="10"/>
        <v>0</v>
      </c>
      <c r="Y43" s="663">
        <f t="shared" si="11"/>
        <v>0</v>
      </c>
      <c r="Z43" s="402">
        <f t="shared" si="12"/>
        <v>0</v>
      </c>
      <c r="AA43" s="408">
        <f t="shared" si="13"/>
        <v>0</v>
      </c>
      <c r="AB43" s="409">
        <f t="shared" si="18"/>
        <v>0</v>
      </c>
      <c r="AC43" s="402">
        <f t="shared" si="14"/>
        <v>0</v>
      </c>
      <c r="AD43" s="405">
        <f t="shared" si="15"/>
        <v>0</v>
      </c>
      <c r="AE43" s="412">
        <f t="shared" si="19"/>
        <v>0</v>
      </c>
    </row>
    <row r="44" spans="1:31" x14ac:dyDescent="0.25">
      <c r="A44" s="134"/>
      <c r="B44" s="1"/>
      <c r="C44" s="1"/>
      <c r="D44" s="2"/>
      <c r="E44" s="398">
        <f t="shared" si="16"/>
        <v>0</v>
      </c>
      <c r="F44" s="5"/>
      <c r="G44" s="111"/>
      <c r="H44" s="321">
        <f>IF(F44="j",D44/Allgemeines!$B$30*$C$29,G44)</f>
        <v>0</v>
      </c>
      <c r="I44" s="411">
        <f t="shared" si="17"/>
        <v>0</v>
      </c>
      <c r="J44" s="139">
        <f>IF(AND(F44&lt;&gt;"",B44="Rückspeisung eN",Allgemeines!$B$29&lt;=2028),$J$21,0)
+IF(AND(F44&lt;&gt;"",OR(B44="EEG-nvol",B44="KWKG",B44="Sonstige-nvol"),AND(OR(C44="&lt;= 2022",C44&lt;=2022),Allgemeines!$B$29&lt;=2025)),1,0)
+IF(AND(F44&lt;&gt;"",OR(B44="EEG-nvol",B44="KWKG",B44="Sonstige-nvol"),AND(OR(C44="&lt;= 2022",C44&lt;=2022),Allgemeines!$B$29&gt;=2026)),1-(Allgemeines!$B$29-2025)/4,0)
+IF(AND(F44&lt;&gt;"",OR(B44="EEG-vol",B44="Sonstige-vol"),OR(C44="&lt;= 2017",C44&lt;=2017),C44&gt;1900),MIN(1,MAX(0,1-(Allgemeines!$B$29-2017)/3)),0)</f>
        <v>0</v>
      </c>
      <c r="K44" s="139">
        <f t="shared" si="1"/>
        <v>0</v>
      </c>
      <c r="L44" s="138"/>
      <c r="M44" s="71" t="str">
        <f t="shared" si="2"/>
        <v/>
      </c>
      <c r="N44" s="402">
        <f t="shared" si="3"/>
        <v>0</v>
      </c>
      <c r="O44" s="403">
        <f t="shared" si="4"/>
        <v>0</v>
      </c>
      <c r="P44" s="404">
        <f t="shared" si="5"/>
        <v>0</v>
      </c>
      <c r="Q44" s="405">
        <f t="shared" si="6"/>
        <v>0</v>
      </c>
      <c r="R44" s="111"/>
      <c r="S44" s="321">
        <f>IF($F44="j",$D44/Allgemeines!$B$30*W$25,R44)*$K44</f>
        <v>0</v>
      </c>
      <c r="T44" s="406">
        <f t="shared" si="7"/>
        <v>0</v>
      </c>
      <c r="U44" s="399">
        <f t="shared" si="8"/>
        <v>0</v>
      </c>
      <c r="V44" s="405">
        <f t="shared" si="9"/>
        <v>0</v>
      </c>
      <c r="W44" s="558"/>
      <c r="X44" s="662">
        <f t="shared" si="10"/>
        <v>0</v>
      </c>
      <c r="Y44" s="663">
        <f t="shared" si="11"/>
        <v>0</v>
      </c>
      <c r="Z44" s="402">
        <f t="shared" si="12"/>
        <v>0</v>
      </c>
      <c r="AA44" s="408">
        <f t="shared" si="13"/>
        <v>0</v>
      </c>
      <c r="AB44" s="409">
        <f t="shared" si="18"/>
        <v>0</v>
      </c>
      <c r="AC44" s="402">
        <f t="shared" si="14"/>
        <v>0</v>
      </c>
      <c r="AD44" s="405">
        <f t="shared" si="15"/>
        <v>0</v>
      </c>
      <c r="AE44" s="412">
        <f t="shared" si="19"/>
        <v>0</v>
      </c>
    </row>
    <row r="45" spans="1:31" x14ac:dyDescent="0.25">
      <c r="A45" s="134"/>
      <c r="B45" s="1"/>
      <c r="C45" s="1"/>
      <c r="D45" s="2"/>
      <c r="E45" s="398">
        <f t="shared" si="16"/>
        <v>0</v>
      </c>
      <c r="F45" s="5"/>
      <c r="G45" s="111"/>
      <c r="H45" s="321">
        <f>IF(F45="j",D45/Allgemeines!$B$30*$C$29,G45)</f>
        <v>0</v>
      </c>
      <c r="I45" s="411">
        <f t="shared" si="17"/>
        <v>0</v>
      </c>
      <c r="J45" s="139">
        <f>IF(AND(F45&lt;&gt;"",B45="Rückspeisung eN",Allgemeines!$B$29&lt;=2028),$J$21,0)
+IF(AND(F45&lt;&gt;"",OR(B45="EEG-nvol",B45="KWKG",B45="Sonstige-nvol"),AND(OR(C45="&lt;= 2022",C45&lt;=2022),Allgemeines!$B$29&lt;=2025)),1,0)
+IF(AND(F45&lt;&gt;"",OR(B45="EEG-nvol",B45="KWKG",B45="Sonstige-nvol"),AND(OR(C45="&lt;= 2022",C45&lt;=2022),Allgemeines!$B$29&gt;=2026)),1-(Allgemeines!$B$29-2025)/4,0)
+IF(AND(F45&lt;&gt;"",OR(B45="EEG-vol",B45="Sonstige-vol"),OR(C45="&lt;= 2017",C45&lt;=2017),C45&gt;1900),MIN(1,MAX(0,1-(Allgemeines!$B$29-2017)/3)),0)</f>
        <v>0</v>
      </c>
      <c r="K45" s="139">
        <f t="shared" si="1"/>
        <v>0</v>
      </c>
      <c r="L45" s="138"/>
      <c r="M45" s="71" t="str">
        <f t="shared" si="2"/>
        <v/>
      </c>
      <c r="N45" s="402">
        <f t="shared" si="3"/>
        <v>0</v>
      </c>
      <c r="O45" s="403">
        <f t="shared" si="4"/>
        <v>0</v>
      </c>
      <c r="P45" s="404">
        <f t="shared" si="5"/>
        <v>0</v>
      </c>
      <c r="Q45" s="405">
        <f t="shared" si="6"/>
        <v>0</v>
      </c>
      <c r="R45" s="111"/>
      <c r="S45" s="321">
        <f>IF($F45="j",$D45/Allgemeines!$B$30*W$25,R45)*$K45</f>
        <v>0</v>
      </c>
      <c r="T45" s="406">
        <f t="shared" si="7"/>
        <v>0</v>
      </c>
      <c r="U45" s="399">
        <f t="shared" si="8"/>
        <v>0</v>
      </c>
      <c r="V45" s="405">
        <f t="shared" si="9"/>
        <v>0</v>
      </c>
      <c r="W45" s="558"/>
      <c r="X45" s="662">
        <f t="shared" si="10"/>
        <v>0</v>
      </c>
      <c r="Y45" s="663">
        <f t="shared" si="11"/>
        <v>0</v>
      </c>
      <c r="Z45" s="402">
        <f t="shared" si="12"/>
        <v>0</v>
      </c>
      <c r="AA45" s="408">
        <f t="shared" si="13"/>
        <v>0</v>
      </c>
      <c r="AB45" s="409">
        <f t="shared" si="18"/>
        <v>0</v>
      </c>
      <c r="AC45" s="402">
        <f t="shared" si="14"/>
        <v>0</v>
      </c>
      <c r="AD45" s="405">
        <f t="shared" si="15"/>
        <v>0</v>
      </c>
      <c r="AE45" s="412">
        <f t="shared" si="19"/>
        <v>0</v>
      </c>
    </row>
    <row r="46" spans="1:31" x14ac:dyDescent="0.25">
      <c r="A46" s="134"/>
      <c r="B46" s="1"/>
      <c r="C46" s="1"/>
      <c r="D46" s="2"/>
      <c r="E46" s="398">
        <f t="shared" si="16"/>
        <v>0</v>
      </c>
      <c r="F46" s="5"/>
      <c r="G46" s="111"/>
      <c r="H46" s="321">
        <f>IF(F46="j",D46/Allgemeines!$B$30*$C$29,G46)</f>
        <v>0</v>
      </c>
      <c r="I46" s="411">
        <f t="shared" si="17"/>
        <v>0</v>
      </c>
      <c r="J46" s="139">
        <f>IF(AND(F46&lt;&gt;"",B46="Rückspeisung eN",Allgemeines!$B$29&lt;=2028),$J$21,0)
+IF(AND(F46&lt;&gt;"",OR(B46="EEG-nvol",B46="KWKG",B46="Sonstige-nvol"),AND(OR(C46="&lt;= 2022",C46&lt;=2022),Allgemeines!$B$29&lt;=2025)),1,0)
+IF(AND(F46&lt;&gt;"",OR(B46="EEG-nvol",B46="KWKG",B46="Sonstige-nvol"),AND(OR(C46="&lt;= 2022",C46&lt;=2022),Allgemeines!$B$29&gt;=2026)),1-(Allgemeines!$B$29-2025)/4,0)
+IF(AND(F46&lt;&gt;"",OR(B46="EEG-vol",B46="Sonstige-vol"),OR(C46="&lt;= 2017",C46&lt;=2017),C46&gt;1900),MIN(1,MAX(0,1-(Allgemeines!$B$29-2017)/3)),0)</f>
        <v>0</v>
      </c>
      <c r="K46" s="139">
        <f t="shared" si="1"/>
        <v>0</v>
      </c>
      <c r="L46" s="138"/>
      <c r="M46" s="71" t="str">
        <f t="shared" si="2"/>
        <v/>
      </c>
      <c r="N46" s="402">
        <f t="shared" si="3"/>
        <v>0</v>
      </c>
      <c r="O46" s="403">
        <f t="shared" si="4"/>
        <v>0</v>
      </c>
      <c r="P46" s="404">
        <f t="shared" si="5"/>
        <v>0</v>
      </c>
      <c r="Q46" s="405">
        <f t="shared" si="6"/>
        <v>0</v>
      </c>
      <c r="R46" s="111"/>
      <c r="S46" s="321">
        <f>IF($F46="j",$D46/Allgemeines!$B$30*W$25,R46)*$K46</f>
        <v>0</v>
      </c>
      <c r="T46" s="406">
        <f t="shared" si="7"/>
        <v>0</v>
      </c>
      <c r="U46" s="399">
        <f t="shared" si="8"/>
        <v>0</v>
      </c>
      <c r="V46" s="405">
        <f t="shared" si="9"/>
        <v>0</v>
      </c>
      <c r="W46" s="558"/>
      <c r="X46" s="662">
        <f t="shared" si="10"/>
        <v>0</v>
      </c>
      <c r="Y46" s="663">
        <f t="shared" si="11"/>
        <v>0</v>
      </c>
      <c r="Z46" s="402">
        <f t="shared" si="12"/>
        <v>0</v>
      </c>
      <c r="AA46" s="408">
        <f t="shared" si="13"/>
        <v>0</v>
      </c>
      <c r="AB46" s="409">
        <f t="shared" si="18"/>
        <v>0</v>
      </c>
      <c r="AC46" s="402">
        <f t="shared" si="14"/>
        <v>0</v>
      </c>
      <c r="AD46" s="405">
        <f t="shared" si="15"/>
        <v>0</v>
      </c>
      <c r="AE46" s="412">
        <f t="shared" si="19"/>
        <v>0</v>
      </c>
    </row>
    <row r="47" spans="1:31" x14ac:dyDescent="0.25">
      <c r="A47" s="134"/>
      <c r="B47" s="1"/>
      <c r="C47" s="1"/>
      <c r="D47" s="2"/>
      <c r="E47" s="398">
        <f t="shared" si="16"/>
        <v>0</v>
      </c>
      <c r="F47" s="5"/>
      <c r="G47" s="111"/>
      <c r="H47" s="321">
        <f>IF(F47="j",D47/Allgemeines!$B$30*$C$29,G47)</f>
        <v>0</v>
      </c>
      <c r="I47" s="411">
        <f t="shared" si="17"/>
        <v>0</v>
      </c>
      <c r="J47" s="139">
        <f>IF(AND(F47&lt;&gt;"",B47="Rückspeisung eN",Allgemeines!$B$29&lt;=2028),$J$21,0)
+IF(AND(F47&lt;&gt;"",OR(B47="EEG-nvol",B47="KWKG",B47="Sonstige-nvol"),AND(OR(C47="&lt;= 2022",C47&lt;=2022),Allgemeines!$B$29&lt;=2025)),1,0)
+IF(AND(F47&lt;&gt;"",OR(B47="EEG-nvol",B47="KWKG",B47="Sonstige-nvol"),AND(OR(C47="&lt;= 2022",C47&lt;=2022),Allgemeines!$B$29&gt;=2026)),1-(Allgemeines!$B$29-2025)/4,0)
+IF(AND(F47&lt;&gt;"",OR(B47="EEG-vol",B47="Sonstige-vol"),OR(C47="&lt;= 2017",C47&lt;=2017),C47&gt;1900),MIN(1,MAX(0,1-(Allgemeines!$B$29-2017)/3)),0)</f>
        <v>0</v>
      </c>
      <c r="K47" s="139">
        <f t="shared" si="1"/>
        <v>0</v>
      </c>
      <c r="L47" s="138"/>
      <c r="M47" s="71" t="str">
        <f t="shared" si="2"/>
        <v/>
      </c>
      <c r="N47" s="402">
        <f t="shared" si="3"/>
        <v>0</v>
      </c>
      <c r="O47" s="403">
        <f t="shared" si="4"/>
        <v>0</v>
      </c>
      <c r="P47" s="404">
        <f t="shared" si="5"/>
        <v>0</v>
      </c>
      <c r="Q47" s="405">
        <f t="shared" si="6"/>
        <v>0</v>
      </c>
      <c r="R47" s="111"/>
      <c r="S47" s="321">
        <f>IF($F47="j",$D47/Allgemeines!$B$30*W$25,R47)*$K47</f>
        <v>0</v>
      </c>
      <c r="T47" s="406">
        <f t="shared" si="7"/>
        <v>0</v>
      </c>
      <c r="U47" s="399">
        <f t="shared" si="8"/>
        <v>0</v>
      </c>
      <c r="V47" s="405">
        <f t="shared" si="9"/>
        <v>0</v>
      </c>
      <c r="W47" s="558"/>
      <c r="X47" s="662">
        <f t="shared" si="10"/>
        <v>0</v>
      </c>
      <c r="Y47" s="663">
        <f t="shared" si="11"/>
        <v>0</v>
      </c>
      <c r="Z47" s="402">
        <f t="shared" si="12"/>
        <v>0</v>
      </c>
      <c r="AA47" s="408">
        <f t="shared" si="13"/>
        <v>0</v>
      </c>
      <c r="AB47" s="409">
        <f t="shared" si="18"/>
        <v>0</v>
      </c>
      <c r="AC47" s="402">
        <f t="shared" si="14"/>
        <v>0</v>
      </c>
      <c r="AD47" s="405">
        <f t="shared" si="15"/>
        <v>0</v>
      </c>
      <c r="AE47" s="412">
        <f t="shared" si="19"/>
        <v>0</v>
      </c>
    </row>
    <row r="48" spans="1:31" x14ac:dyDescent="0.25">
      <c r="A48" s="134"/>
      <c r="B48" s="1"/>
      <c r="C48" s="1"/>
      <c r="D48" s="2"/>
      <c r="E48" s="398">
        <f t="shared" si="16"/>
        <v>0</v>
      </c>
      <c r="F48" s="5"/>
      <c r="G48" s="111"/>
      <c r="H48" s="321">
        <f>IF(F48="j",D48/Allgemeines!$B$30*$C$29,G48)</f>
        <v>0</v>
      </c>
      <c r="I48" s="411">
        <f t="shared" si="17"/>
        <v>0</v>
      </c>
      <c r="J48" s="139">
        <f>IF(AND(F48&lt;&gt;"",B48="Rückspeisung eN",Allgemeines!$B$29&lt;=2028),$J$21,0)
+IF(AND(F48&lt;&gt;"",OR(B48="EEG-nvol",B48="KWKG",B48="Sonstige-nvol"),AND(OR(C48="&lt;= 2022",C48&lt;=2022),Allgemeines!$B$29&lt;=2025)),1,0)
+IF(AND(F48&lt;&gt;"",OR(B48="EEG-nvol",B48="KWKG",B48="Sonstige-nvol"),AND(OR(C48="&lt;= 2022",C48&lt;=2022),Allgemeines!$B$29&gt;=2026)),1-(Allgemeines!$B$29-2025)/4,0)
+IF(AND(F48&lt;&gt;"",OR(B48="EEG-vol",B48="Sonstige-vol"),OR(C48="&lt;= 2017",C48&lt;=2017),C48&gt;1900),MIN(1,MAX(0,1-(Allgemeines!$B$29-2017)/3)),0)</f>
        <v>0</v>
      </c>
      <c r="K48" s="139">
        <f t="shared" si="1"/>
        <v>0</v>
      </c>
      <c r="L48" s="138"/>
      <c r="M48" s="71" t="str">
        <f t="shared" si="2"/>
        <v/>
      </c>
      <c r="N48" s="402">
        <f t="shared" si="3"/>
        <v>0</v>
      </c>
      <c r="O48" s="403">
        <f t="shared" si="4"/>
        <v>0</v>
      </c>
      <c r="P48" s="404">
        <f t="shared" si="5"/>
        <v>0</v>
      </c>
      <c r="Q48" s="405">
        <f t="shared" si="6"/>
        <v>0</v>
      </c>
      <c r="R48" s="111"/>
      <c r="S48" s="321">
        <f>IF($F48="j",$D48/Allgemeines!$B$30*W$25,R48)*$K48</f>
        <v>0</v>
      </c>
      <c r="T48" s="406">
        <f t="shared" si="7"/>
        <v>0</v>
      </c>
      <c r="U48" s="399">
        <f t="shared" si="8"/>
        <v>0</v>
      </c>
      <c r="V48" s="405">
        <f t="shared" si="9"/>
        <v>0</v>
      </c>
      <c r="W48" s="558"/>
      <c r="X48" s="662">
        <f t="shared" si="10"/>
        <v>0</v>
      </c>
      <c r="Y48" s="663">
        <f t="shared" si="11"/>
        <v>0</v>
      </c>
      <c r="Z48" s="402">
        <f t="shared" si="12"/>
        <v>0</v>
      </c>
      <c r="AA48" s="408">
        <f t="shared" si="13"/>
        <v>0</v>
      </c>
      <c r="AB48" s="409">
        <f t="shared" si="18"/>
        <v>0</v>
      </c>
      <c r="AC48" s="402">
        <f t="shared" si="14"/>
        <v>0</v>
      </c>
      <c r="AD48" s="405">
        <f t="shared" si="15"/>
        <v>0</v>
      </c>
      <c r="AE48" s="412">
        <f t="shared" si="19"/>
        <v>0</v>
      </c>
    </row>
    <row r="49" spans="1:31" x14ac:dyDescent="0.25">
      <c r="A49" s="151"/>
      <c r="B49" s="1"/>
      <c r="C49" s="1"/>
      <c r="D49" s="2"/>
      <c r="E49" s="398">
        <f t="shared" si="16"/>
        <v>0</v>
      </c>
      <c r="F49" s="5"/>
      <c r="G49" s="111"/>
      <c r="H49" s="321">
        <f>IF(F49="j",D49/Allgemeines!$B$30*$C$29,G49)</f>
        <v>0</v>
      </c>
      <c r="I49" s="411">
        <f t="shared" si="17"/>
        <v>0</v>
      </c>
      <c r="J49" s="140">
        <f>IF(AND(F49&lt;&gt;"",B49="Rückspeisung eN",Allgemeines!$B$29&lt;=2028),$J$21,0)
+IF(AND(F49&lt;&gt;"",OR(B49="EEG-nvol",B49="KWKG",B49="Sonstige-nvol"),AND(OR(C49="&lt;= 2022",C49&lt;=2022),Allgemeines!$B$29&lt;=2025)),1,0)
+IF(AND(F49&lt;&gt;"",OR(B49="EEG-nvol",B49="KWKG",B49="Sonstige-nvol"),AND(OR(C49="&lt;= 2022",C49&lt;=2022),Allgemeines!$B$29&gt;=2026)),1-(Allgemeines!$B$29-2025)/4,0)
+IF(AND(F49&lt;&gt;"",OR(B49="EEG-vol",B49="Sonstige-vol"),OR(C49="&lt;= 2017",C49&lt;=2017),C49&gt;1900),MIN(1,MAX(0,1-(Allgemeines!$B$29-2017)/3)),0)</f>
        <v>0</v>
      </c>
      <c r="K49" s="140">
        <f t="shared" si="1"/>
        <v>0</v>
      </c>
      <c r="L49" s="138"/>
      <c r="M49" s="413" t="str">
        <f t="shared" si="2"/>
        <v/>
      </c>
      <c r="N49" s="402">
        <f t="shared" si="3"/>
        <v>0</v>
      </c>
      <c r="O49" s="403">
        <f t="shared" si="4"/>
        <v>0</v>
      </c>
      <c r="P49" s="404">
        <f t="shared" si="5"/>
        <v>0</v>
      </c>
      <c r="Q49" s="405">
        <f t="shared" si="6"/>
        <v>0</v>
      </c>
      <c r="R49" s="111"/>
      <c r="S49" s="321">
        <f>IF($F49="j",$D49/Allgemeines!$B$30*W$25,R49)*$K49</f>
        <v>0</v>
      </c>
      <c r="T49" s="406">
        <f t="shared" si="7"/>
        <v>0</v>
      </c>
      <c r="U49" s="399">
        <f t="shared" si="8"/>
        <v>0</v>
      </c>
      <c r="V49" s="405">
        <f t="shared" si="9"/>
        <v>0</v>
      </c>
      <c r="W49" s="558"/>
      <c r="X49" s="662">
        <f t="shared" si="10"/>
        <v>0</v>
      </c>
      <c r="Y49" s="663">
        <f t="shared" si="11"/>
        <v>0</v>
      </c>
      <c r="Z49" s="402">
        <f t="shared" si="12"/>
        <v>0</v>
      </c>
      <c r="AA49" s="408">
        <f t="shared" si="13"/>
        <v>0</v>
      </c>
      <c r="AB49" s="409">
        <f t="shared" si="18"/>
        <v>0</v>
      </c>
      <c r="AC49" s="402">
        <f t="shared" si="14"/>
        <v>0</v>
      </c>
      <c r="AD49" s="405">
        <f t="shared" si="15"/>
        <v>0</v>
      </c>
      <c r="AE49" s="412">
        <f t="shared" si="19"/>
        <v>0</v>
      </c>
    </row>
    <row r="50" spans="1:31" ht="15.75" thickBot="1" x14ac:dyDescent="0.3">
      <c r="A50" s="176"/>
      <c r="B50" s="66"/>
      <c r="C50" s="66"/>
      <c r="D50" s="66"/>
      <c r="E50" s="414"/>
      <c r="F50" s="72"/>
      <c r="G50" s="321"/>
      <c r="H50" s="321"/>
      <c r="I50" s="415"/>
      <c r="J50" s="415"/>
      <c r="K50" s="415"/>
      <c r="L50" s="415"/>
      <c r="M50" s="416"/>
      <c r="N50" s="70"/>
      <c r="O50" s="417"/>
      <c r="P50" s="417"/>
      <c r="Q50" s="417"/>
      <c r="R50" s="417"/>
      <c r="S50" s="417"/>
      <c r="T50" s="417"/>
      <c r="U50" s="417"/>
      <c r="V50" s="417"/>
      <c r="W50" s="417"/>
      <c r="X50" s="417"/>
      <c r="Y50" s="417"/>
      <c r="Z50" s="417"/>
      <c r="AA50" s="417"/>
      <c r="AB50" s="417"/>
      <c r="AC50" s="417"/>
      <c r="AD50" s="417"/>
    </row>
    <row r="51" spans="1:31" ht="15.75" thickBot="1" x14ac:dyDescent="0.3">
      <c r="A51" s="418" t="s">
        <v>377</v>
      </c>
      <c r="B51" s="419"/>
      <c r="C51" s="419"/>
      <c r="D51" s="419"/>
      <c r="E51" s="419"/>
      <c r="F51" s="419"/>
      <c r="G51" s="420"/>
      <c r="H51" s="420"/>
      <c r="I51" s="420"/>
      <c r="J51" s="420"/>
      <c r="K51" s="420"/>
      <c r="L51" s="420"/>
      <c r="M51" s="421"/>
      <c r="N51" s="419"/>
      <c r="O51" s="419"/>
      <c r="P51" s="419"/>
      <c r="Q51" s="419"/>
      <c r="R51" s="419"/>
      <c r="S51" s="420"/>
      <c r="T51" s="419"/>
      <c r="U51" s="420"/>
      <c r="V51" s="419"/>
      <c r="W51" s="419"/>
      <c r="X51" s="419"/>
      <c r="Y51" s="419"/>
      <c r="Z51" s="419"/>
      <c r="AA51" s="419"/>
      <c r="AB51" s="419"/>
      <c r="AC51" s="419"/>
      <c r="AD51" s="419"/>
      <c r="AE51" s="422"/>
    </row>
    <row r="52" spans="1:31" s="69" customFormat="1" ht="15" hidden="1" customHeight="1" thickBot="1" x14ac:dyDescent="0.3">
      <c r="A52" s="423" t="s">
        <v>261</v>
      </c>
      <c r="B52" s="372" t="s">
        <v>262</v>
      </c>
      <c r="C52" s="372" t="s">
        <v>263</v>
      </c>
      <c r="D52" s="372" t="s">
        <v>264</v>
      </c>
      <c r="E52" s="373" t="s">
        <v>265</v>
      </c>
      <c r="F52" s="374" t="s">
        <v>266</v>
      </c>
      <c r="G52" s="372" t="s">
        <v>409</v>
      </c>
      <c r="H52" s="375" t="s">
        <v>410</v>
      </c>
      <c r="I52" s="424" t="s">
        <v>267</v>
      </c>
      <c r="J52" s="425" t="s">
        <v>268</v>
      </c>
      <c r="K52" s="425" t="s">
        <v>269</v>
      </c>
      <c r="L52" s="425" t="s">
        <v>270</v>
      </c>
      <c r="M52" s="425" t="s">
        <v>271</v>
      </c>
      <c r="N52" s="379" t="s">
        <v>272</v>
      </c>
      <c r="O52" s="380" t="s">
        <v>273</v>
      </c>
      <c r="P52" s="381" t="s">
        <v>274</v>
      </c>
      <c r="Q52" s="382" t="s">
        <v>275</v>
      </c>
      <c r="R52" s="372" t="s">
        <v>276</v>
      </c>
      <c r="S52" s="372" t="s">
        <v>277</v>
      </c>
      <c r="T52" s="383" t="s">
        <v>278</v>
      </c>
      <c r="U52" s="155" t="s">
        <v>319</v>
      </c>
      <c r="V52" s="382" t="s">
        <v>320</v>
      </c>
      <c r="W52" s="379" t="s">
        <v>438</v>
      </c>
      <c r="X52" s="379" t="s">
        <v>327</v>
      </c>
      <c r="Y52" s="380" t="s">
        <v>339</v>
      </c>
      <c r="Z52" s="379" t="s">
        <v>340</v>
      </c>
      <c r="AA52" s="379" t="s">
        <v>341</v>
      </c>
      <c r="AB52" s="384" t="s">
        <v>342</v>
      </c>
      <c r="AC52" s="379" t="s">
        <v>343</v>
      </c>
      <c r="AD52" s="382" t="s">
        <v>344</v>
      </c>
      <c r="AE52" s="380" t="s">
        <v>345</v>
      </c>
    </row>
    <row r="53" spans="1:31" x14ac:dyDescent="0.25">
      <c r="A53" s="152"/>
      <c r="B53" s="1"/>
      <c r="C53" s="546"/>
      <c r="D53" s="2"/>
      <c r="E53" s="398">
        <f t="shared" ref="E53:E64" si="20">D53*$C$14</f>
        <v>0</v>
      </c>
      <c r="F53" s="426" t="str">
        <f t="shared" ref="F53:F64" si="21">"j"</f>
        <v>j</v>
      </c>
      <c r="G53" s="427"/>
      <c r="H53" s="321">
        <f>IF(F53="j",D53/Allgemeines!$B$30*$C$30,G53)</f>
        <v>0</v>
      </c>
      <c r="I53" s="411">
        <f t="shared" ref="I53:I64" si="22">H53*$C$31</f>
        <v>0</v>
      </c>
      <c r="J53" s="139">
        <f>IF(AND(F53&lt;&gt;"",B53="Rückspeisung eN",Allgemeines!$B$29&lt;=2028),$J$21,0)
+IF(AND(F53&lt;&gt;"",OR(B53="EEG-nvol",B53="KWKG",B53="Sonstige-nvol"),AND(OR(C53="&lt;= 2022",C53&lt;=2022),Allgemeines!$B$29&lt;=2025)),1,0)
+IF(AND(F53&lt;&gt;"",OR(B53="EEG-nvol",B53="KWKG",B53="Sonstige-nvol"),AND(OR(C53="&lt;= 2022",C53&lt;=2022),Allgemeines!$B$29&gt;=2026)),MIN(1,MAX(0,1-(Allgemeines!$B$29-2025)/4)),0)
+IF(AND(F53&lt;&gt;"",OR(B53="EEG-vol",B53="Sonstige-vol"),OR(C53="&lt;= 2017",C53&lt;=2017),C53&gt;1900),MIN(1,MAX(0,1-(Allgemeines!$B$29-2017)/3)),0)</f>
        <v>0</v>
      </c>
      <c r="K53" s="139">
        <f t="shared" ref="K53:K64" si="23">IF(B53="Rückspeisung eN",$K$21,J53)</f>
        <v>0</v>
      </c>
      <c r="L53" s="156"/>
      <c r="M53" s="413" t="str">
        <f t="shared" ref="M53:M64" si="24">IF(MAX($AE53,$AB53)&gt;0,
IF($AE53&lt;$AB53,"R","A"),"")</f>
        <v/>
      </c>
      <c r="N53" s="407">
        <f t="shared" ref="N53:N64" si="25">IF($AE53&lt;$AB53,AC53,Z53)</f>
        <v>0</v>
      </c>
      <c r="O53" s="428"/>
      <c r="P53" s="404">
        <f t="shared" ref="P53:P64" si="26">D53*J53</f>
        <v>0</v>
      </c>
      <c r="Q53" s="405">
        <f t="shared" ref="Q53:Q64" si="27">IF($P$69&gt;0,$V$15*P53/$P$69,0)</f>
        <v>0</v>
      </c>
      <c r="R53" s="429"/>
      <c r="S53" s="399">
        <f>IF($F53="j",$D53/Allgemeines!$B$30*W$26,R53)*$K53</f>
        <v>0</v>
      </c>
      <c r="T53" s="406">
        <f t="shared" ref="T53:T64" si="28">H53*K53</f>
        <v>0</v>
      </c>
      <c r="U53" s="399">
        <f t="shared" ref="U53:U64" si="29">CHOOSE(RIGHT(U$35,1),P53,S53,T53)</f>
        <v>0</v>
      </c>
      <c r="V53" s="430"/>
      <c r="W53" s="558"/>
      <c r="X53" s="664">
        <f t="shared" ref="X53:X64" si="30">N53+Q53</f>
        <v>0</v>
      </c>
      <c r="Y53" s="673"/>
      <c r="Z53" s="407">
        <f t="shared" ref="Z53:Z64" si="31">IF(L53&lt;&gt;0,E53*M$27/100*$J53,0)</f>
        <v>0</v>
      </c>
      <c r="AA53" s="431"/>
      <c r="AB53" s="432">
        <f t="shared" ref="AB53:AB64" si="32">Z53+AA53</f>
        <v>0</v>
      </c>
      <c r="AC53" s="407">
        <f t="shared" ref="AC53:AC64" si="33">IF(L53&lt;&gt;"",E53*IFERROR(VLOOKUP(L53,$L$28:$N$32,2,FALSE),0)/100*$J53,0)</f>
        <v>0</v>
      </c>
      <c r="AD53" s="431"/>
      <c r="AE53" s="433">
        <f t="shared" ref="AE53:AE64" si="34">AC53+AD53</f>
        <v>0</v>
      </c>
    </row>
    <row r="54" spans="1:31" x14ac:dyDescent="0.25">
      <c r="A54" s="152"/>
      <c r="B54" s="1"/>
      <c r="C54" s="546"/>
      <c r="D54" s="2"/>
      <c r="E54" s="398">
        <f t="shared" si="20"/>
        <v>0</v>
      </c>
      <c r="F54" s="426" t="str">
        <f t="shared" si="21"/>
        <v>j</v>
      </c>
      <c r="G54" s="427"/>
      <c r="H54" s="321">
        <f>IF(F54="j",D54/Allgemeines!$B$30*$C$30,G54)</f>
        <v>0</v>
      </c>
      <c r="I54" s="411">
        <f t="shared" si="22"/>
        <v>0</v>
      </c>
      <c r="J54" s="139">
        <f>IF(AND(F54&lt;&gt;"",B54="Rückspeisung eN",Allgemeines!$B$29&lt;=2028),$J$21,0)
+IF(AND(F54&lt;&gt;"",OR(B54="EEG-nvol",B54="KWKG",B54="Sonstige-nvol"),AND(OR(C54="&lt;= 2022",C54&lt;=2022),Allgemeines!$B$29&lt;=2025)),1,0)
+IF(AND(F54&lt;&gt;"",OR(B54="EEG-nvol",B54="KWKG",B54="Sonstige-nvol"),AND(OR(C54="&lt;= 2022",C54&lt;=2022),Allgemeines!$B$29&gt;=2026)),MIN(1,MAX(0,1-(Allgemeines!$B$29-2025)/4)),0)
+IF(AND(F54&lt;&gt;"",OR(B54="EEG-vol",B54="Sonstige-vol"),OR(C54="&lt;= 2017",C54&lt;=2017),C54&gt;1900),MIN(1,MAX(0,1-(Allgemeines!$B$29-2017)/3)),0)</f>
        <v>0</v>
      </c>
      <c r="K54" s="140">
        <f t="shared" si="23"/>
        <v>0</v>
      </c>
      <c r="L54" s="156"/>
      <c r="M54" s="413" t="str">
        <f t="shared" si="24"/>
        <v/>
      </c>
      <c r="N54" s="407">
        <f t="shared" si="25"/>
        <v>0</v>
      </c>
      <c r="O54" s="428"/>
      <c r="P54" s="404">
        <f t="shared" si="26"/>
        <v>0</v>
      </c>
      <c r="Q54" s="405">
        <f t="shared" si="27"/>
        <v>0</v>
      </c>
      <c r="R54" s="429"/>
      <c r="S54" s="399">
        <f>IF($F54="j",$D54/Allgemeines!$B$30*W$26,R54)*$K54</f>
        <v>0</v>
      </c>
      <c r="T54" s="406">
        <f t="shared" si="28"/>
        <v>0</v>
      </c>
      <c r="U54" s="399">
        <f t="shared" si="29"/>
        <v>0</v>
      </c>
      <c r="V54" s="430"/>
      <c r="W54" s="558"/>
      <c r="X54" s="664">
        <f t="shared" si="30"/>
        <v>0</v>
      </c>
      <c r="Y54" s="673"/>
      <c r="Z54" s="407">
        <f t="shared" si="31"/>
        <v>0</v>
      </c>
      <c r="AA54" s="431"/>
      <c r="AB54" s="432">
        <f t="shared" si="32"/>
        <v>0</v>
      </c>
      <c r="AC54" s="407">
        <f t="shared" si="33"/>
        <v>0</v>
      </c>
      <c r="AD54" s="431"/>
      <c r="AE54" s="433">
        <f t="shared" si="34"/>
        <v>0</v>
      </c>
    </row>
    <row r="55" spans="1:31" x14ac:dyDescent="0.25">
      <c r="A55" s="152"/>
      <c r="B55" s="1"/>
      <c r="C55" s="546"/>
      <c r="D55" s="2"/>
      <c r="E55" s="398">
        <f t="shared" si="20"/>
        <v>0</v>
      </c>
      <c r="F55" s="426" t="str">
        <f t="shared" si="21"/>
        <v>j</v>
      </c>
      <c r="G55" s="427"/>
      <c r="H55" s="321">
        <f>IF(F55="j",D55/Allgemeines!$B$30*$C$30,G55)</f>
        <v>0</v>
      </c>
      <c r="I55" s="411">
        <f t="shared" si="22"/>
        <v>0</v>
      </c>
      <c r="J55" s="139">
        <f>IF(AND(F55&lt;&gt;"",B55="Rückspeisung eN",Allgemeines!$B$29&lt;=2028),$J$21,0)
+IF(AND(F55&lt;&gt;"",OR(B55="EEG-nvol",B55="KWKG",B55="Sonstige-nvol"),AND(OR(C55="&lt;= 2022",C55&lt;=2022),Allgemeines!$B$29&lt;=2025)),1,0)
+IF(AND(F55&lt;&gt;"",OR(B55="EEG-nvol",B55="KWKG",B55="Sonstige-nvol"),AND(OR(C55="&lt;= 2022",C55&lt;=2022),Allgemeines!$B$29&gt;=2026)),MIN(1,MAX(0,1-(Allgemeines!$B$29-2025)/4)),0)
+IF(AND(F55&lt;&gt;"",OR(B55="EEG-vol",B55="Sonstige-vol"),OR(C55="&lt;= 2017",C55&lt;=2017),C55&gt;1900),MIN(1,MAX(0,1-(Allgemeines!$B$29-2017)/3)),0)</f>
        <v>0</v>
      </c>
      <c r="K55" s="140">
        <f t="shared" si="23"/>
        <v>0</v>
      </c>
      <c r="L55" s="156"/>
      <c r="M55" s="413" t="str">
        <f t="shared" si="24"/>
        <v/>
      </c>
      <c r="N55" s="407">
        <f t="shared" si="25"/>
        <v>0</v>
      </c>
      <c r="O55" s="428"/>
      <c r="P55" s="404">
        <f t="shared" si="26"/>
        <v>0</v>
      </c>
      <c r="Q55" s="405">
        <f t="shared" si="27"/>
        <v>0</v>
      </c>
      <c r="R55" s="429"/>
      <c r="S55" s="399">
        <f>IF($F55="j",$D55/Allgemeines!$B$30*W$26,R55)*$K55</f>
        <v>0</v>
      </c>
      <c r="T55" s="406">
        <f t="shared" si="28"/>
        <v>0</v>
      </c>
      <c r="U55" s="399">
        <f t="shared" si="29"/>
        <v>0</v>
      </c>
      <c r="V55" s="430"/>
      <c r="W55" s="558"/>
      <c r="X55" s="664">
        <f t="shared" si="30"/>
        <v>0</v>
      </c>
      <c r="Y55" s="673"/>
      <c r="Z55" s="407">
        <f t="shared" si="31"/>
        <v>0</v>
      </c>
      <c r="AA55" s="431"/>
      <c r="AB55" s="432">
        <f t="shared" si="32"/>
        <v>0</v>
      </c>
      <c r="AC55" s="407">
        <f t="shared" si="33"/>
        <v>0</v>
      </c>
      <c r="AD55" s="431"/>
      <c r="AE55" s="433">
        <f t="shared" si="34"/>
        <v>0</v>
      </c>
    </row>
    <row r="56" spans="1:31" x14ac:dyDescent="0.25">
      <c r="A56" s="152"/>
      <c r="B56" s="1"/>
      <c r="C56" s="546"/>
      <c r="D56" s="2"/>
      <c r="E56" s="398">
        <f t="shared" si="20"/>
        <v>0</v>
      </c>
      <c r="F56" s="426" t="str">
        <f t="shared" si="21"/>
        <v>j</v>
      </c>
      <c r="G56" s="427"/>
      <c r="H56" s="321">
        <f>IF(F56="j",D56/Allgemeines!$B$30*$C$30,G56)</f>
        <v>0</v>
      </c>
      <c r="I56" s="411">
        <f t="shared" si="22"/>
        <v>0</v>
      </c>
      <c r="J56" s="139">
        <f>IF(AND(F56&lt;&gt;"",B56="Rückspeisung eN",Allgemeines!$B$29&lt;=2028),$J$21,0)
+IF(AND(F56&lt;&gt;"",OR(B56="EEG-nvol",B56="KWKG",B56="Sonstige-nvol"),AND(OR(C56="&lt;= 2022",C56&lt;=2022),Allgemeines!$B$29&lt;=2025)),1,0)
+IF(AND(F56&lt;&gt;"",OR(B56="EEG-nvol",B56="KWKG",B56="Sonstige-nvol"),AND(OR(C56="&lt;= 2022",C56&lt;=2022),Allgemeines!$B$29&gt;=2026)),MIN(1,MAX(0,1-(Allgemeines!$B$29-2025)/4)),0)
+IF(AND(F56&lt;&gt;"",OR(B56="EEG-vol",B56="Sonstige-vol"),OR(C56="&lt;= 2017",C56&lt;=2017),C56&gt;1900),MIN(1,MAX(0,1-(Allgemeines!$B$29-2017)/3)),0)</f>
        <v>0</v>
      </c>
      <c r="K56" s="140">
        <f t="shared" si="23"/>
        <v>0</v>
      </c>
      <c r="L56" s="156"/>
      <c r="M56" s="413" t="str">
        <f t="shared" si="24"/>
        <v/>
      </c>
      <c r="N56" s="407">
        <f t="shared" si="25"/>
        <v>0</v>
      </c>
      <c r="O56" s="428"/>
      <c r="P56" s="404">
        <f t="shared" si="26"/>
        <v>0</v>
      </c>
      <c r="Q56" s="405">
        <f t="shared" si="27"/>
        <v>0</v>
      </c>
      <c r="R56" s="429"/>
      <c r="S56" s="399">
        <f>IF($F56="j",$D56/Allgemeines!$B$30*W$26,R56)*$K56</f>
        <v>0</v>
      </c>
      <c r="T56" s="406">
        <f t="shared" si="28"/>
        <v>0</v>
      </c>
      <c r="U56" s="399">
        <f t="shared" si="29"/>
        <v>0</v>
      </c>
      <c r="V56" s="430"/>
      <c r="W56" s="558"/>
      <c r="X56" s="664">
        <f t="shared" si="30"/>
        <v>0</v>
      </c>
      <c r="Y56" s="673"/>
      <c r="Z56" s="407">
        <f t="shared" si="31"/>
        <v>0</v>
      </c>
      <c r="AA56" s="431"/>
      <c r="AB56" s="432">
        <f t="shared" si="32"/>
        <v>0</v>
      </c>
      <c r="AC56" s="407">
        <f t="shared" si="33"/>
        <v>0</v>
      </c>
      <c r="AD56" s="431"/>
      <c r="AE56" s="433">
        <f t="shared" si="34"/>
        <v>0</v>
      </c>
    </row>
    <row r="57" spans="1:31" x14ac:dyDescent="0.25">
      <c r="A57" s="152"/>
      <c r="B57" s="1"/>
      <c r="C57" s="546"/>
      <c r="D57" s="2"/>
      <c r="E57" s="398">
        <f t="shared" si="20"/>
        <v>0</v>
      </c>
      <c r="F57" s="426" t="str">
        <f t="shared" si="21"/>
        <v>j</v>
      </c>
      <c r="G57" s="427"/>
      <c r="H57" s="321">
        <f>IF(F57="j",D57/Allgemeines!$B$30*$C$30,G57)</f>
        <v>0</v>
      </c>
      <c r="I57" s="411">
        <f t="shared" si="22"/>
        <v>0</v>
      </c>
      <c r="J57" s="139">
        <f>IF(AND(F57&lt;&gt;"",B57="Rückspeisung eN",Allgemeines!$B$29&lt;=2028),$J$21,0)
+IF(AND(F57&lt;&gt;"",OR(B57="EEG-nvol",B57="KWKG",B57="Sonstige-nvol"),AND(OR(C57="&lt;= 2022",C57&lt;=2022),Allgemeines!$B$29&lt;=2025)),1,0)
+IF(AND(F57&lt;&gt;"",OR(B57="EEG-nvol",B57="KWKG",B57="Sonstige-nvol"),AND(OR(C57="&lt;= 2022",C57&lt;=2022),Allgemeines!$B$29&gt;=2026)),MIN(1,MAX(0,1-(Allgemeines!$B$29-2025)/4)),0)
+IF(AND(F57&lt;&gt;"",OR(B57="EEG-vol",B57="Sonstige-vol"),OR(C57="&lt;= 2017",C57&lt;=2017),C57&gt;1900),MIN(1,MAX(0,1-(Allgemeines!$B$29-2017)/3)),0)</f>
        <v>0</v>
      </c>
      <c r="K57" s="140">
        <f t="shared" si="23"/>
        <v>0</v>
      </c>
      <c r="L57" s="156"/>
      <c r="M57" s="413" t="str">
        <f t="shared" si="24"/>
        <v/>
      </c>
      <c r="N57" s="407">
        <f t="shared" si="25"/>
        <v>0</v>
      </c>
      <c r="O57" s="428"/>
      <c r="P57" s="404">
        <f t="shared" si="26"/>
        <v>0</v>
      </c>
      <c r="Q57" s="405">
        <f t="shared" si="27"/>
        <v>0</v>
      </c>
      <c r="R57" s="429"/>
      <c r="S57" s="399">
        <f>IF($F57="j",$D57/Allgemeines!$B$30*W$26,R57)*$K57</f>
        <v>0</v>
      </c>
      <c r="T57" s="406">
        <f t="shared" si="28"/>
        <v>0</v>
      </c>
      <c r="U57" s="399">
        <f t="shared" si="29"/>
        <v>0</v>
      </c>
      <c r="V57" s="430"/>
      <c r="W57" s="558"/>
      <c r="X57" s="664">
        <f t="shared" si="30"/>
        <v>0</v>
      </c>
      <c r="Y57" s="673"/>
      <c r="Z57" s="407">
        <f t="shared" si="31"/>
        <v>0</v>
      </c>
      <c r="AA57" s="431"/>
      <c r="AB57" s="432">
        <f t="shared" si="32"/>
        <v>0</v>
      </c>
      <c r="AC57" s="407">
        <f t="shared" si="33"/>
        <v>0</v>
      </c>
      <c r="AD57" s="431"/>
      <c r="AE57" s="433">
        <f t="shared" si="34"/>
        <v>0</v>
      </c>
    </row>
    <row r="58" spans="1:31" x14ac:dyDescent="0.25">
      <c r="A58" s="152"/>
      <c r="B58" s="1"/>
      <c r="C58" s="546"/>
      <c r="D58" s="2"/>
      <c r="E58" s="398">
        <f t="shared" si="20"/>
        <v>0</v>
      </c>
      <c r="F58" s="426" t="str">
        <f t="shared" si="21"/>
        <v>j</v>
      </c>
      <c r="G58" s="427"/>
      <c r="H58" s="321">
        <f>IF(F58="j",D58/Allgemeines!$B$30*$C$30,G58)</f>
        <v>0</v>
      </c>
      <c r="I58" s="411">
        <f t="shared" si="22"/>
        <v>0</v>
      </c>
      <c r="J58" s="139">
        <f>IF(AND(F58&lt;&gt;"",B58="Rückspeisung eN",Allgemeines!$B$29&lt;=2028),$J$21,0)
+IF(AND(F58&lt;&gt;"",OR(B58="EEG-nvol",B58="KWKG",B58="Sonstige-nvol"),AND(OR(C58="&lt;= 2022",C58&lt;=2022),Allgemeines!$B$29&lt;=2025)),1,0)
+IF(AND(F58&lt;&gt;"",OR(B58="EEG-nvol",B58="KWKG",B58="Sonstige-nvol"),AND(OR(C58="&lt;= 2022",C58&lt;=2022),Allgemeines!$B$29&gt;=2026)),MIN(1,MAX(0,1-(Allgemeines!$B$29-2025)/4)),0)
+IF(AND(F58&lt;&gt;"",OR(B58="EEG-vol",B58="Sonstige-vol"),OR(C58="&lt;= 2017",C58&lt;=2017),C58&gt;1900),MIN(1,MAX(0,1-(Allgemeines!$B$29-2017)/3)),0)</f>
        <v>0</v>
      </c>
      <c r="K58" s="140">
        <f t="shared" si="23"/>
        <v>0</v>
      </c>
      <c r="L58" s="156"/>
      <c r="M58" s="413" t="str">
        <f t="shared" si="24"/>
        <v/>
      </c>
      <c r="N58" s="407">
        <f t="shared" si="25"/>
        <v>0</v>
      </c>
      <c r="O58" s="428"/>
      <c r="P58" s="404">
        <f t="shared" si="26"/>
        <v>0</v>
      </c>
      <c r="Q58" s="405">
        <f t="shared" si="27"/>
        <v>0</v>
      </c>
      <c r="R58" s="429"/>
      <c r="S58" s="399">
        <f>IF($F58="j",$D58/Allgemeines!$B$30*W$26,R58)*$K58</f>
        <v>0</v>
      </c>
      <c r="T58" s="406">
        <f t="shared" si="28"/>
        <v>0</v>
      </c>
      <c r="U58" s="399">
        <f t="shared" si="29"/>
        <v>0</v>
      </c>
      <c r="V58" s="430"/>
      <c r="W58" s="558"/>
      <c r="X58" s="664">
        <f t="shared" si="30"/>
        <v>0</v>
      </c>
      <c r="Y58" s="673"/>
      <c r="Z58" s="407">
        <f t="shared" si="31"/>
        <v>0</v>
      </c>
      <c r="AA58" s="431"/>
      <c r="AB58" s="432">
        <f t="shared" si="32"/>
        <v>0</v>
      </c>
      <c r="AC58" s="407">
        <f t="shared" si="33"/>
        <v>0</v>
      </c>
      <c r="AD58" s="431"/>
      <c r="AE58" s="433">
        <f t="shared" si="34"/>
        <v>0</v>
      </c>
    </row>
    <row r="59" spans="1:31" x14ac:dyDescent="0.25">
      <c r="A59" s="152"/>
      <c r="B59" s="1"/>
      <c r="C59" s="546"/>
      <c r="D59" s="2"/>
      <c r="E59" s="398">
        <f t="shared" si="20"/>
        <v>0</v>
      </c>
      <c r="F59" s="426" t="str">
        <f t="shared" si="21"/>
        <v>j</v>
      </c>
      <c r="G59" s="427"/>
      <c r="H59" s="321">
        <f>IF(F59="j",D59/Allgemeines!$B$30*$C$30,G59)</f>
        <v>0</v>
      </c>
      <c r="I59" s="411">
        <f t="shared" si="22"/>
        <v>0</v>
      </c>
      <c r="J59" s="139">
        <f>IF(AND(F59&lt;&gt;"",B59="Rückspeisung eN",Allgemeines!$B$29&lt;=2028),$J$21,0)
+IF(AND(F59&lt;&gt;"",OR(B59="EEG-nvol",B59="KWKG",B59="Sonstige-nvol"),AND(OR(C59="&lt;= 2022",C59&lt;=2022),Allgemeines!$B$29&lt;=2025)),1,0)
+IF(AND(F59&lt;&gt;"",OR(B59="EEG-nvol",B59="KWKG",B59="Sonstige-nvol"),AND(OR(C59="&lt;= 2022",C59&lt;=2022),Allgemeines!$B$29&gt;=2026)),MIN(1,MAX(0,1-(Allgemeines!$B$29-2025)/4)),0)
+IF(AND(F59&lt;&gt;"",OR(B59="EEG-vol",B59="Sonstige-vol"),OR(C59="&lt;= 2017",C59&lt;=2017),C59&gt;1900),MIN(1,MAX(0,1-(Allgemeines!$B$29-2017)/3)),0)</f>
        <v>0</v>
      </c>
      <c r="K59" s="140">
        <f t="shared" si="23"/>
        <v>0</v>
      </c>
      <c r="L59" s="156"/>
      <c r="M59" s="413" t="str">
        <f t="shared" si="24"/>
        <v/>
      </c>
      <c r="N59" s="407">
        <f t="shared" si="25"/>
        <v>0</v>
      </c>
      <c r="O59" s="428"/>
      <c r="P59" s="404">
        <f t="shared" si="26"/>
        <v>0</v>
      </c>
      <c r="Q59" s="405">
        <f t="shared" si="27"/>
        <v>0</v>
      </c>
      <c r="R59" s="429"/>
      <c r="S59" s="399">
        <f>IF($F59="j",$D59/Allgemeines!$B$30*W$26,R59)*$K59</f>
        <v>0</v>
      </c>
      <c r="T59" s="406">
        <f t="shared" si="28"/>
        <v>0</v>
      </c>
      <c r="U59" s="399">
        <f t="shared" si="29"/>
        <v>0</v>
      </c>
      <c r="V59" s="430"/>
      <c r="W59" s="558"/>
      <c r="X59" s="664">
        <f t="shared" si="30"/>
        <v>0</v>
      </c>
      <c r="Y59" s="673"/>
      <c r="Z59" s="407">
        <f t="shared" si="31"/>
        <v>0</v>
      </c>
      <c r="AA59" s="431"/>
      <c r="AB59" s="432">
        <f t="shared" si="32"/>
        <v>0</v>
      </c>
      <c r="AC59" s="407">
        <f t="shared" si="33"/>
        <v>0</v>
      </c>
      <c r="AD59" s="431"/>
      <c r="AE59" s="433">
        <f t="shared" si="34"/>
        <v>0</v>
      </c>
    </row>
    <row r="60" spans="1:31" x14ac:dyDescent="0.25">
      <c r="A60" s="152"/>
      <c r="B60" s="1"/>
      <c r="C60" s="546"/>
      <c r="D60" s="2"/>
      <c r="E60" s="398">
        <f t="shared" si="20"/>
        <v>0</v>
      </c>
      <c r="F60" s="426" t="str">
        <f t="shared" si="21"/>
        <v>j</v>
      </c>
      <c r="G60" s="427"/>
      <c r="H60" s="321">
        <f>IF(F60="j",D60/Allgemeines!$B$30*$C$30,G60)</f>
        <v>0</v>
      </c>
      <c r="I60" s="411">
        <f t="shared" si="22"/>
        <v>0</v>
      </c>
      <c r="J60" s="139">
        <f>IF(AND(F60&lt;&gt;"",B60="Rückspeisung eN",Allgemeines!$B$29&lt;=2028),$J$21,0)
+IF(AND(F60&lt;&gt;"",OR(B60="EEG-nvol",B60="KWKG",B60="Sonstige-nvol"),AND(OR(C60="&lt;= 2022",C60&lt;=2022),Allgemeines!$B$29&lt;=2025)),1,0)
+IF(AND(F60&lt;&gt;"",OR(B60="EEG-nvol",B60="KWKG",B60="Sonstige-nvol"),AND(OR(C60="&lt;= 2022",C60&lt;=2022),Allgemeines!$B$29&gt;=2026)),MIN(1,MAX(0,1-(Allgemeines!$B$29-2025)/4)),0)
+IF(AND(F60&lt;&gt;"",OR(B60="EEG-vol",B60="Sonstige-vol"),OR(C60="&lt;= 2017",C60&lt;=2017),C60&gt;1900),MIN(1,MAX(0,1-(Allgemeines!$B$29-2017)/3)),0)</f>
        <v>0</v>
      </c>
      <c r="K60" s="140">
        <f t="shared" si="23"/>
        <v>0</v>
      </c>
      <c r="L60" s="156"/>
      <c r="M60" s="413" t="str">
        <f t="shared" si="24"/>
        <v/>
      </c>
      <c r="N60" s="407">
        <f t="shared" si="25"/>
        <v>0</v>
      </c>
      <c r="O60" s="428"/>
      <c r="P60" s="404">
        <f t="shared" si="26"/>
        <v>0</v>
      </c>
      <c r="Q60" s="405">
        <f t="shared" si="27"/>
        <v>0</v>
      </c>
      <c r="R60" s="429"/>
      <c r="S60" s="399">
        <f>IF($F60="j",$D60/Allgemeines!$B$30*W$26,R60)*$K60</f>
        <v>0</v>
      </c>
      <c r="T60" s="406">
        <f t="shared" si="28"/>
        <v>0</v>
      </c>
      <c r="U60" s="399">
        <f t="shared" si="29"/>
        <v>0</v>
      </c>
      <c r="V60" s="430"/>
      <c r="W60" s="558"/>
      <c r="X60" s="664">
        <f t="shared" si="30"/>
        <v>0</v>
      </c>
      <c r="Y60" s="673"/>
      <c r="Z60" s="407">
        <f t="shared" si="31"/>
        <v>0</v>
      </c>
      <c r="AA60" s="431"/>
      <c r="AB60" s="432">
        <f t="shared" si="32"/>
        <v>0</v>
      </c>
      <c r="AC60" s="407">
        <f t="shared" si="33"/>
        <v>0</v>
      </c>
      <c r="AD60" s="431"/>
      <c r="AE60" s="433">
        <f t="shared" si="34"/>
        <v>0</v>
      </c>
    </row>
    <row r="61" spans="1:31" x14ac:dyDescent="0.25">
      <c r="A61" s="152"/>
      <c r="B61" s="1"/>
      <c r="C61" s="546"/>
      <c r="D61" s="2"/>
      <c r="E61" s="398">
        <f t="shared" si="20"/>
        <v>0</v>
      </c>
      <c r="F61" s="426" t="str">
        <f t="shared" si="21"/>
        <v>j</v>
      </c>
      <c r="G61" s="427"/>
      <c r="H61" s="321">
        <f>IF(F61="j",D61/Allgemeines!$B$30*$C$30,G61)</f>
        <v>0</v>
      </c>
      <c r="I61" s="411">
        <f t="shared" si="22"/>
        <v>0</v>
      </c>
      <c r="J61" s="139">
        <f>IF(AND(F61&lt;&gt;"",B61="Rückspeisung eN",Allgemeines!$B$29&lt;=2028),$J$21,0)
+IF(AND(F61&lt;&gt;"",OR(B61="EEG-nvol",B61="KWKG",B61="Sonstige-nvol"),AND(OR(C61="&lt;= 2022",C61&lt;=2022),Allgemeines!$B$29&lt;=2025)),1,0)
+IF(AND(F61&lt;&gt;"",OR(B61="EEG-nvol",B61="KWKG",B61="Sonstige-nvol"),AND(OR(C61="&lt;= 2022",C61&lt;=2022),Allgemeines!$B$29&gt;=2026)),MIN(1,MAX(0,1-(Allgemeines!$B$29-2025)/4)),0)
+IF(AND(F61&lt;&gt;"",OR(B61="EEG-vol",B61="Sonstige-vol"),OR(C61="&lt;= 2017",C61&lt;=2017),C61&gt;1900),MIN(1,MAX(0,1-(Allgemeines!$B$29-2017)/3)),0)</f>
        <v>0</v>
      </c>
      <c r="K61" s="140">
        <f t="shared" si="23"/>
        <v>0</v>
      </c>
      <c r="L61" s="156"/>
      <c r="M61" s="413" t="str">
        <f t="shared" si="24"/>
        <v/>
      </c>
      <c r="N61" s="407">
        <f t="shared" si="25"/>
        <v>0</v>
      </c>
      <c r="O61" s="428"/>
      <c r="P61" s="404">
        <f t="shared" si="26"/>
        <v>0</v>
      </c>
      <c r="Q61" s="405">
        <f t="shared" si="27"/>
        <v>0</v>
      </c>
      <c r="R61" s="429"/>
      <c r="S61" s="399">
        <f>IF($F61="j",$D61/Allgemeines!$B$30*W$26,R61)*$K61</f>
        <v>0</v>
      </c>
      <c r="T61" s="406">
        <f t="shared" si="28"/>
        <v>0</v>
      </c>
      <c r="U61" s="399">
        <f t="shared" si="29"/>
        <v>0</v>
      </c>
      <c r="V61" s="430"/>
      <c r="W61" s="558"/>
      <c r="X61" s="664">
        <f t="shared" si="30"/>
        <v>0</v>
      </c>
      <c r="Y61" s="673"/>
      <c r="Z61" s="407">
        <f t="shared" si="31"/>
        <v>0</v>
      </c>
      <c r="AA61" s="431"/>
      <c r="AB61" s="432">
        <f t="shared" si="32"/>
        <v>0</v>
      </c>
      <c r="AC61" s="407">
        <f t="shared" si="33"/>
        <v>0</v>
      </c>
      <c r="AD61" s="431"/>
      <c r="AE61" s="433">
        <f t="shared" si="34"/>
        <v>0</v>
      </c>
    </row>
    <row r="62" spans="1:31" x14ac:dyDescent="0.25">
      <c r="A62" s="152"/>
      <c r="B62" s="1"/>
      <c r="C62" s="546"/>
      <c r="D62" s="2"/>
      <c r="E62" s="398">
        <f t="shared" si="20"/>
        <v>0</v>
      </c>
      <c r="F62" s="426" t="str">
        <f t="shared" si="21"/>
        <v>j</v>
      </c>
      <c r="G62" s="427"/>
      <c r="H62" s="321">
        <f>IF(F62="j",D62/Allgemeines!$B$30*$C$30,G62)</f>
        <v>0</v>
      </c>
      <c r="I62" s="411">
        <f t="shared" si="22"/>
        <v>0</v>
      </c>
      <c r="J62" s="139">
        <f>IF(AND(F62&lt;&gt;"",B62="Rückspeisung eN",Allgemeines!$B$29&lt;=2028),$J$21,0)
+IF(AND(F62&lt;&gt;"",OR(B62="EEG-nvol",B62="KWKG",B62="Sonstige-nvol"),AND(OR(C62="&lt;= 2022",C62&lt;=2022),Allgemeines!$B$29&lt;=2025)),1,0)
+IF(AND(F62&lt;&gt;"",OR(B62="EEG-nvol",B62="KWKG",B62="Sonstige-nvol"),AND(OR(C62="&lt;= 2022",C62&lt;=2022),Allgemeines!$B$29&gt;=2026)),MIN(1,MAX(0,1-(Allgemeines!$B$29-2025)/4)),0)
+IF(AND(F62&lt;&gt;"",OR(B62="EEG-vol",B62="Sonstige-vol"),OR(C62="&lt;= 2017",C62&lt;=2017),C62&gt;1900),MIN(1,MAX(0,1-(Allgemeines!$B$29-2017)/3)),0)</f>
        <v>0</v>
      </c>
      <c r="K62" s="140">
        <f t="shared" si="23"/>
        <v>0</v>
      </c>
      <c r="L62" s="156"/>
      <c r="M62" s="413" t="str">
        <f t="shared" si="24"/>
        <v/>
      </c>
      <c r="N62" s="407">
        <f t="shared" si="25"/>
        <v>0</v>
      </c>
      <c r="O62" s="428"/>
      <c r="P62" s="404">
        <f t="shared" si="26"/>
        <v>0</v>
      </c>
      <c r="Q62" s="405">
        <f t="shared" si="27"/>
        <v>0</v>
      </c>
      <c r="R62" s="429"/>
      <c r="S62" s="399">
        <f>IF($F62="j",$D62/Allgemeines!$B$30*W$26,R62)*$K62</f>
        <v>0</v>
      </c>
      <c r="T62" s="406">
        <f t="shared" si="28"/>
        <v>0</v>
      </c>
      <c r="U62" s="399">
        <f t="shared" si="29"/>
        <v>0</v>
      </c>
      <c r="V62" s="430"/>
      <c r="W62" s="558"/>
      <c r="X62" s="664">
        <f t="shared" si="30"/>
        <v>0</v>
      </c>
      <c r="Y62" s="673"/>
      <c r="Z62" s="407">
        <f t="shared" si="31"/>
        <v>0</v>
      </c>
      <c r="AA62" s="431"/>
      <c r="AB62" s="432">
        <f t="shared" si="32"/>
        <v>0</v>
      </c>
      <c r="AC62" s="407">
        <f t="shared" si="33"/>
        <v>0</v>
      </c>
      <c r="AD62" s="431"/>
      <c r="AE62" s="433">
        <f t="shared" si="34"/>
        <v>0</v>
      </c>
    </row>
    <row r="63" spans="1:31" x14ac:dyDescent="0.25">
      <c r="A63" s="152"/>
      <c r="B63" s="1"/>
      <c r="C63" s="546"/>
      <c r="D63" s="2"/>
      <c r="E63" s="398">
        <f t="shared" si="20"/>
        <v>0</v>
      </c>
      <c r="F63" s="69" t="str">
        <f t="shared" si="21"/>
        <v>j</v>
      </c>
      <c r="G63" s="427"/>
      <c r="H63" s="321">
        <f>IF(F63="j",D63/Allgemeines!$B$30*$C$30,G63)</f>
        <v>0</v>
      </c>
      <c r="I63" s="411">
        <f t="shared" si="22"/>
        <v>0</v>
      </c>
      <c r="J63" s="139">
        <f>IF(AND(F63&lt;&gt;"",B63="Rückspeisung eN",Allgemeines!$B$29&lt;=2028),$J$21,0)
+IF(AND(F63&lt;&gt;"",OR(B63="EEG-nvol",B63="KWKG",B63="Sonstige-nvol"),AND(OR(C63="&lt;= 2022",C63&lt;=2022),Allgemeines!$B$29&lt;=2025)),1,0)
+IF(AND(F63&lt;&gt;"",OR(B63="EEG-nvol",B63="KWKG",B63="Sonstige-nvol"),AND(OR(C63="&lt;= 2022",C63&lt;=2022),Allgemeines!$B$29&gt;=2026)),MIN(1,MAX(0,1-(Allgemeines!$B$29-2025)/4)),0)
+IF(AND(F63&lt;&gt;"",OR(B63="EEG-vol",B63="Sonstige-vol"),OR(C63="&lt;= 2017",C63&lt;=2017),C63&gt;1900),MIN(1,MAX(0,1-(Allgemeines!$B$29-2017)/3)),0)</f>
        <v>0</v>
      </c>
      <c r="K63" s="140">
        <f t="shared" si="23"/>
        <v>0</v>
      </c>
      <c r="L63" s="156"/>
      <c r="M63" s="413" t="str">
        <f t="shared" si="24"/>
        <v/>
      </c>
      <c r="N63" s="407">
        <f t="shared" si="25"/>
        <v>0</v>
      </c>
      <c r="O63" s="434"/>
      <c r="P63" s="272">
        <f t="shared" si="26"/>
        <v>0</v>
      </c>
      <c r="Q63" s="408">
        <f t="shared" si="27"/>
        <v>0</v>
      </c>
      <c r="R63" s="429"/>
      <c r="S63" s="399">
        <f>IF($F63="j",$D63/Allgemeines!$B$30*W$26,R63)*$K63</f>
        <v>0</v>
      </c>
      <c r="T63" s="406">
        <f t="shared" si="28"/>
        <v>0</v>
      </c>
      <c r="U63" s="399">
        <f t="shared" si="29"/>
        <v>0</v>
      </c>
      <c r="V63" s="429"/>
      <c r="W63" s="558"/>
      <c r="X63" s="664">
        <f t="shared" si="30"/>
        <v>0</v>
      </c>
      <c r="Y63" s="665"/>
      <c r="Z63" s="407">
        <f t="shared" si="31"/>
        <v>0</v>
      </c>
      <c r="AA63" s="434"/>
      <c r="AB63" s="432">
        <f t="shared" si="32"/>
        <v>0</v>
      </c>
      <c r="AC63" s="407">
        <f t="shared" si="33"/>
        <v>0</v>
      </c>
      <c r="AD63" s="434"/>
      <c r="AE63" s="433">
        <f t="shared" si="34"/>
        <v>0</v>
      </c>
    </row>
    <row r="64" spans="1:31" x14ac:dyDescent="0.25">
      <c r="A64" s="153"/>
      <c r="B64" s="1"/>
      <c r="C64" s="546"/>
      <c r="D64" s="2"/>
      <c r="E64" s="398">
        <f t="shared" si="20"/>
        <v>0</v>
      </c>
      <c r="F64" s="69" t="str">
        <f t="shared" si="21"/>
        <v>j</v>
      </c>
      <c r="G64" s="427"/>
      <c r="H64" s="321">
        <f>IF(F64="j",D64/Allgemeines!$B$30*$C$30,G64)</f>
        <v>0</v>
      </c>
      <c r="I64" s="411">
        <f t="shared" si="22"/>
        <v>0</v>
      </c>
      <c r="J64" s="139">
        <f>IF(AND(F64&lt;&gt;"",B64="Rückspeisung eN",Allgemeines!$B$29&lt;=2028),$J$21,0)
+IF(AND(F64&lt;&gt;"",OR(B64="EEG-nvol",B64="KWKG",B64="Sonstige-nvol"),AND(OR(C64="&lt;= 2022",C64&lt;=2022),Allgemeines!$B$29&lt;=2025)),1,0)
+IF(AND(F64&lt;&gt;"",OR(B64="EEG-nvol",B64="KWKG",B64="Sonstige-nvol"),AND(OR(C64="&lt;= 2022",C64&lt;=2022),Allgemeines!$B$29&gt;=2026)),MIN(1,MAX(0,1-(Allgemeines!$B$29-2025)/4)),0)
+IF(AND(F64&lt;&gt;"",OR(B64="EEG-vol",B64="Sonstige-vol"),OR(C64="&lt;= 2017",C64&lt;=2017),C64&gt;1900),MIN(1,MAX(0,1-(Allgemeines!$B$29-2017)/3)),0)</f>
        <v>0</v>
      </c>
      <c r="K64" s="140">
        <f t="shared" si="23"/>
        <v>0</v>
      </c>
      <c r="L64" s="156"/>
      <c r="M64" s="413" t="str">
        <f t="shared" si="24"/>
        <v/>
      </c>
      <c r="N64" s="407">
        <f t="shared" si="25"/>
        <v>0</v>
      </c>
      <c r="O64" s="434"/>
      <c r="P64" s="272">
        <f t="shared" si="26"/>
        <v>0</v>
      </c>
      <c r="Q64" s="408">
        <f t="shared" si="27"/>
        <v>0</v>
      </c>
      <c r="R64" s="429"/>
      <c r="S64" s="399">
        <f>IF($F64="j",$D64/Allgemeines!$B$30*W$26,R64)*$K64</f>
        <v>0</v>
      </c>
      <c r="T64" s="406">
        <f t="shared" si="28"/>
        <v>0</v>
      </c>
      <c r="U64" s="399">
        <f t="shared" si="29"/>
        <v>0</v>
      </c>
      <c r="V64" s="429"/>
      <c r="W64" s="558"/>
      <c r="X64" s="664">
        <f t="shared" si="30"/>
        <v>0</v>
      </c>
      <c r="Y64" s="665"/>
      <c r="Z64" s="407">
        <f t="shared" si="31"/>
        <v>0</v>
      </c>
      <c r="AA64" s="434"/>
      <c r="AB64" s="432">
        <f t="shared" si="32"/>
        <v>0</v>
      </c>
      <c r="AC64" s="407">
        <f t="shared" si="33"/>
        <v>0</v>
      </c>
      <c r="AD64" s="434"/>
      <c r="AE64" s="433">
        <f t="shared" si="34"/>
        <v>0</v>
      </c>
    </row>
    <row r="65" spans="1:31" ht="15.75" thickBot="1" x14ac:dyDescent="0.3">
      <c r="A65" s="435"/>
      <c r="D65" s="70"/>
      <c r="E65" s="280"/>
      <c r="F65" s="69"/>
      <c r="G65" s="321"/>
      <c r="H65" s="321"/>
      <c r="I65" s="321"/>
      <c r="J65" s="321"/>
      <c r="K65" s="321"/>
      <c r="L65" s="321"/>
      <c r="M65" s="321"/>
      <c r="N65" s="321"/>
      <c r="O65" s="436"/>
      <c r="P65" s="437"/>
      <c r="Q65" s="437"/>
      <c r="R65" s="437"/>
      <c r="S65" s="70"/>
      <c r="T65" s="70"/>
      <c r="U65" s="321"/>
      <c r="V65" s="70"/>
      <c r="W65" s="70"/>
      <c r="X65" s="70"/>
      <c r="Y65" s="70"/>
      <c r="Z65" s="70"/>
      <c r="AA65" s="70"/>
      <c r="AB65" s="70"/>
      <c r="AC65" s="70"/>
      <c r="AD65" s="70"/>
    </row>
    <row r="66" spans="1:31" x14ac:dyDescent="0.25">
      <c r="A66" s="73" t="s">
        <v>215</v>
      </c>
      <c r="B66" s="74"/>
      <c r="C66" s="74"/>
      <c r="D66" s="438">
        <f>SUMIF($F$38:$F$49,"n",D38:D49)</f>
        <v>0</v>
      </c>
      <c r="E66" s="439">
        <f>SUMIF($F$38:$F$49,"n",E38:E49)</f>
        <v>0</v>
      </c>
      <c r="F66" s="440" t="s">
        <v>23</v>
      </c>
      <c r="G66" s="441">
        <f>SUMIF($F$38:$F$49,"n",G38:G49)</f>
        <v>0</v>
      </c>
      <c r="H66" s="441">
        <f>SUMIF($F$38:$F$49,"n",H38:H49)</f>
        <v>0</v>
      </c>
      <c r="I66" s="441">
        <f>SUMIF($F$38:$F$49,"n",I38:I49)</f>
        <v>0</v>
      </c>
      <c r="J66" s="442"/>
      <c r="K66" s="442"/>
      <c r="L66" s="442"/>
      <c r="M66" s="442"/>
      <c r="N66" s="448">
        <f t="shared" ref="N66:V66" si="35">SUMIF($F$38:$F$49,"n",N38:N49)</f>
        <v>0</v>
      </c>
      <c r="O66" s="686">
        <f t="shared" si="35"/>
        <v>0</v>
      </c>
      <c r="P66" s="443">
        <f t="shared" si="35"/>
        <v>0</v>
      </c>
      <c r="Q66" s="684">
        <f t="shared" si="35"/>
        <v>0</v>
      </c>
      <c r="R66" s="441">
        <f t="shared" si="35"/>
        <v>0</v>
      </c>
      <c r="S66" s="444">
        <f t="shared" si="35"/>
        <v>0</v>
      </c>
      <c r="T66" s="445">
        <f t="shared" si="35"/>
        <v>0</v>
      </c>
      <c r="U66" s="444">
        <f t="shared" si="35"/>
        <v>0</v>
      </c>
      <c r="V66" s="446">
        <f t="shared" si="35"/>
        <v>0</v>
      </c>
      <c r="W66" s="556"/>
      <c r="X66" s="666">
        <f t="shared" ref="X66:AE66" si="36">SUMIF($F$38:$F$49,"n",X38:X49)</f>
        <v>0</v>
      </c>
      <c r="Y66" s="667">
        <f t="shared" si="36"/>
        <v>0</v>
      </c>
      <c r="Z66" s="448">
        <f t="shared" si="36"/>
        <v>0</v>
      </c>
      <c r="AA66" s="446">
        <f t="shared" si="36"/>
        <v>0</v>
      </c>
      <c r="AB66" s="447">
        <f t="shared" si="36"/>
        <v>0</v>
      </c>
      <c r="AC66" s="448">
        <f t="shared" si="36"/>
        <v>0</v>
      </c>
      <c r="AD66" s="446">
        <f t="shared" si="36"/>
        <v>0</v>
      </c>
      <c r="AE66" s="447">
        <f t="shared" si="36"/>
        <v>0</v>
      </c>
    </row>
    <row r="67" spans="1:31" x14ac:dyDescent="0.25">
      <c r="A67" s="76" t="s">
        <v>216</v>
      </c>
      <c r="D67" s="449">
        <f>SUMIF($F$38:$F$49,"j",D38:D49)</f>
        <v>0</v>
      </c>
      <c r="E67" s="398">
        <f>SUMIF($F$38:$F$49,"j",E38:E49)</f>
        <v>0</v>
      </c>
      <c r="F67" s="72" t="s">
        <v>1</v>
      </c>
      <c r="G67" s="321">
        <f>SUMIF($F$38:$F$49,"j",G38:G49)</f>
        <v>0</v>
      </c>
      <c r="H67" s="321">
        <f>SUMIF($F$38:$F$49,"j",H38:H49)</f>
        <v>0</v>
      </c>
      <c r="I67" s="321">
        <f>SUMIF($F$38:$F$49,"j",I38:I49)</f>
        <v>0</v>
      </c>
      <c r="J67" s="427"/>
      <c r="K67" s="427"/>
      <c r="L67" s="427"/>
      <c r="M67" s="427"/>
      <c r="N67" s="402">
        <f t="shared" ref="N67:V67" si="37">SUMIF($F$38:$F$49,"j",N38:N49)</f>
        <v>0</v>
      </c>
      <c r="O67" s="687">
        <f t="shared" si="37"/>
        <v>0</v>
      </c>
      <c r="P67" s="450">
        <f t="shared" si="37"/>
        <v>0</v>
      </c>
      <c r="Q67" s="408">
        <f t="shared" si="37"/>
        <v>0</v>
      </c>
      <c r="R67" s="321">
        <f t="shared" si="37"/>
        <v>0</v>
      </c>
      <c r="S67" s="399">
        <f t="shared" si="37"/>
        <v>0</v>
      </c>
      <c r="T67" s="349">
        <f t="shared" si="37"/>
        <v>0</v>
      </c>
      <c r="U67" s="399">
        <f t="shared" si="37"/>
        <v>0</v>
      </c>
      <c r="V67" s="405">
        <f t="shared" si="37"/>
        <v>0</v>
      </c>
      <c r="W67" s="429"/>
      <c r="X67" s="664">
        <f t="shared" ref="X67:AE67" si="38">SUMIF($F$38:$F$49,"j",X38:X49)</f>
        <v>0</v>
      </c>
      <c r="Y67" s="663">
        <f t="shared" si="38"/>
        <v>0</v>
      </c>
      <c r="Z67" s="451">
        <f t="shared" si="38"/>
        <v>0</v>
      </c>
      <c r="AA67" s="452">
        <f t="shared" si="38"/>
        <v>0</v>
      </c>
      <c r="AB67" s="403">
        <f t="shared" si="38"/>
        <v>0</v>
      </c>
      <c r="AC67" s="451">
        <f t="shared" si="38"/>
        <v>0</v>
      </c>
      <c r="AD67" s="452">
        <f t="shared" si="38"/>
        <v>0</v>
      </c>
      <c r="AE67" s="403">
        <f t="shared" si="38"/>
        <v>0</v>
      </c>
    </row>
    <row r="68" spans="1:31" x14ac:dyDescent="0.25">
      <c r="A68" s="210" t="s">
        <v>214</v>
      </c>
      <c r="B68" s="4"/>
      <c r="C68" s="4"/>
      <c r="D68" s="212">
        <f>SUM(D53:D64)</f>
        <v>0</v>
      </c>
      <c r="E68" s="453">
        <f>SUM(E53:E64)</f>
        <v>0</v>
      </c>
      <c r="F68" s="454" t="s">
        <v>1</v>
      </c>
      <c r="G68" s="455">
        <f t="shared" ref="G68:I68" si="39">SUM(G53:G64)</f>
        <v>0</v>
      </c>
      <c r="H68" s="456">
        <f t="shared" si="39"/>
        <v>0</v>
      </c>
      <c r="I68" s="456">
        <f t="shared" si="39"/>
        <v>0</v>
      </c>
      <c r="J68" s="455"/>
      <c r="K68" s="455"/>
      <c r="L68" s="455"/>
      <c r="M68" s="455"/>
      <c r="N68" s="462">
        <f t="shared" ref="N68:U68" si="40">SUM(N53:N64)</f>
        <v>0</v>
      </c>
      <c r="O68" s="688">
        <f t="shared" si="40"/>
        <v>0</v>
      </c>
      <c r="P68" s="458">
        <f t="shared" si="40"/>
        <v>0</v>
      </c>
      <c r="Q68" s="685">
        <f t="shared" si="40"/>
        <v>0</v>
      </c>
      <c r="R68" s="459">
        <f t="shared" si="40"/>
        <v>0</v>
      </c>
      <c r="S68" s="459">
        <f t="shared" si="40"/>
        <v>0</v>
      </c>
      <c r="T68" s="342">
        <f t="shared" si="40"/>
        <v>0</v>
      </c>
      <c r="U68" s="459">
        <f t="shared" si="40"/>
        <v>0</v>
      </c>
      <c r="V68" s="460"/>
      <c r="W68" s="460"/>
      <c r="X68" s="668">
        <f>SUM(X53:X64)</f>
        <v>0</v>
      </c>
      <c r="Y68" s="669"/>
      <c r="Z68" s="462">
        <f>SUM(Z53:Z64)</f>
        <v>0</v>
      </c>
      <c r="AA68" s="461"/>
      <c r="AB68" s="463">
        <f>SUM(AB53:AB64)</f>
        <v>0</v>
      </c>
      <c r="AC68" s="462">
        <f>SUM(AC53:AC64)</f>
        <v>0</v>
      </c>
      <c r="AD68" s="461"/>
      <c r="AE68" s="463">
        <f>SUM(AE53:AE64)</f>
        <v>0</v>
      </c>
    </row>
    <row r="69" spans="1:31" ht="15.75" thickBot="1" x14ac:dyDescent="0.3">
      <c r="A69" s="78" t="s">
        <v>3</v>
      </c>
      <c r="B69" s="464"/>
      <c r="C69" s="79"/>
      <c r="D69" s="465">
        <f>D66+D67+D68</f>
        <v>0</v>
      </c>
      <c r="E69" s="466">
        <f>E66+E67+E68</f>
        <v>0</v>
      </c>
      <c r="F69" s="467"/>
      <c r="G69" s="468"/>
      <c r="H69" s="469">
        <f>SUM(H66:H68)</f>
        <v>0</v>
      </c>
      <c r="I69" s="469">
        <f>SUM(I66:I68)</f>
        <v>0</v>
      </c>
      <c r="J69" s="468"/>
      <c r="K69" s="468"/>
      <c r="L69" s="468"/>
      <c r="M69" s="468"/>
      <c r="N69" s="683">
        <f t="shared" ref="N69:AE69" si="41">SUM(N66:N68)</f>
        <v>0</v>
      </c>
      <c r="O69" s="689">
        <f t="shared" si="41"/>
        <v>0</v>
      </c>
      <c r="P69" s="470">
        <f t="shared" si="41"/>
        <v>0</v>
      </c>
      <c r="Q69" s="683">
        <f t="shared" si="41"/>
        <v>0</v>
      </c>
      <c r="R69" s="472">
        <f t="shared" si="41"/>
        <v>0</v>
      </c>
      <c r="S69" s="472">
        <f t="shared" si="41"/>
        <v>0</v>
      </c>
      <c r="T69" s="471">
        <f t="shared" si="41"/>
        <v>0</v>
      </c>
      <c r="U69" s="472">
        <f t="shared" si="41"/>
        <v>0</v>
      </c>
      <c r="V69" s="475">
        <f t="shared" si="41"/>
        <v>0</v>
      </c>
      <c r="W69" s="557"/>
      <c r="X69" s="670">
        <f t="shared" si="41"/>
        <v>0</v>
      </c>
      <c r="Y69" s="671">
        <f t="shared" si="41"/>
        <v>0</v>
      </c>
      <c r="Z69" s="474">
        <f t="shared" si="41"/>
        <v>0</v>
      </c>
      <c r="AA69" s="475">
        <f t="shared" si="41"/>
        <v>0</v>
      </c>
      <c r="AB69" s="473">
        <f t="shared" si="41"/>
        <v>0</v>
      </c>
      <c r="AC69" s="474">
        <f t="shared" si="41"/>
        <v>0</v>
      </c>
      <c r="AD69" s="475">
        <f t="shared" si="41"/>
        <v>0</v>
      </c>
      <c r="AE69" s="473">
        <f t="shared" si="41"/>
        <v>0</v>
      </c>
    </row>
    <row r="70" spans="1:31" ht="16.5" x14ac:dyDescent="0.3">
      <c r="D70" s="476" t="s">
        <v>27</v>
      </c>
      <c r="E70" s="477" t="s">
        <v>154</v>
      </c>
      <c r="F70" s="476"/>
      <c r="G70" s="476"/>
      <c r="H70" s="478" t="s">
        <v>180</v>
      </c>
      <c r="I70" s="477" t="s">
        <v>155</v>
      </c>
      <c r="K70" s="478"/>
      <c r="L70" s="478"/>
      <c r="M70" s="478"/>
      <c r="N70" s="478"/>
      <c r="O70" s="478"/>
      <c r="P70" s="73" t="s">
        <v>396</v>
      </c>
      <c r="Q70" s="74"/>
      <c r="R70" s="74"/>
      <c r="S70" s="74"/>
      <c r="T70" s="74"/>
      <c r="U70" s="479">
        <f>CHOOSE(RIGHT(U$35,1),D69,W23,H69)</f>
        <v>0</v>
      </c>
      <c r="Z70" s="480"/>
      <c r="AA70" s="480"/>
      <c r="AB70" s="480"/>
      <c r="AC70" s="480"/>
      <c r="AD70" s="480"/>
    </row>
    <row r="71" spans="1:31" x14ac:dyDescent="0.25">
      <c r="P71" s="76" t="s">
        <v>392</v>
      </c>
      <c r="U71" s="481">
        <f>IF(U70=0,0,U69/U70)</f>
        <v>0</v>
      </c>
    </row>
    <row r="72" spans="1:31" ht="15.75" thickBot="1" x14ac:dyDescent="0.3">
      <c r="P72" s="78" t="s">
        <v>393</v>
      </c>
      <c r="Q72" s="79"/>
      <c r="R72" s="79"/>
      <c r="S72" s="79"/>
      <c r="T72" s="79"/>
      <c r="U72" s="89">
        <f>IF(D69=0,0,P69/D69)</f>
        <v>0</v>
      </c>
    </row>
  </sheetData>
  <sheetProtection algorithmName="SHA-512" hashValue="Jh+x+rXe9iYlzTh9NGvs/bYHAVzPUHUu62nVDySGiLkfanHOFC288GcWSaG8TopMKx7kmLe2+cD9WmuJplulig==" saltValue="Y0MNTtBkqb4cg+ihBZIlZw==" spinCount="100000" sheet="1" objects="1" scenarios="1" formatCells="0"/>
  <mergeCells count="11">
    <mergeCell ref="H28:K28"/>
    <mergeCell ref="H29:K29"/>
    <mergeCell ref="H30:K30"/>
    <mergeCell ref="H31:K31"/>
    <mergeCell ref="H32:K32"/>
    <mergeCell ref="V3:AD8"/>
    <mergeCell ref="L22:L26"/>
    <mergeCell ref="M22:M25"/>
    <mergeCell ref="N22:N25"/>
    <mergeCell ref="H27:K27"/>
    <mergeCell ref="H26:K26"/>
  </mergeCells>
  <conditionalFormatting sqref="E69 C10">
    <cfRule type="expression" dxfId="345" priority="93">
      <formula>ABS($C$10-$E$69)&gt;0.01</formula>
    </cfRule>
    <cfRule type="expression" dxfId="344" priority="96">
      <formula>ABS($C$10-$E$69)&lt;0.01</formula>
    </cfRule>
  </conditionalFormatting>
  <conditionalFormatting sqref="C14">
    <cfRule type="cellIs" dxfId="343" priority="89" operator="greaterThan">
      <formula>1.0001</formula>
    </cfRule>
  </conditionalFormatting>
  <conditionalFormatting sqref="G68 T68 J68:N68">
    <cfRule type="expression" dxfId="342" priority="90">
      <formula>G68&lt;-1</formula>
    </cfRule>
  </conditionalFormatting>
  <conditionalFormatting sqref="G68">
    <cfRule type="expression" dxfId="341" priority="95">
      <formula>AND($G$68&gt;$D$68*4,D68&gt;1)</formula>
    </cfRule>
  </conditionalFormatting>
  <conditionalFormatting sqref="D19:E19">
    <cfRule type="expression" dxfId="340" priority="88">
      <formula>$B$16="j"</formula>
    </cfRule>
  </conditionalFormatting>
  <conditionalFormatting sqref="C29:C30">
    <cfRule type="expression" dxfId="339" priority="91">
      <formula>C29&lt;-0.1</formula>
    </cfRule>
  </conditionalFormatting>
  <conditionalFormatting sqref="W23">
    <cfRule type="expression" dxfId="338" priority="87">
      <formula>$W$23&lt;-1</formula>
    </cfRule>
  </conditionalFormatting>
  <conditionalFormatting sqref="M68">
    <cfRule type="expression" dxfId="337" priority="98">
      <formula>AND($G$68&gt;$D$68*4,E68&gt;1)</formula>
    </cfRule>
  </conditionalFormatting>
  <conditionalFormatting sqref="K68:L68">
    <cfRule type="expression" dxfId="336" priority="99">
      <formula>AND($G$68&gt;$D$68*4,E68&gt;1)</formula>
    </cfRule>
  </conditionalFormatting>
  <conditionalFormatting sqref="J68">
    <cfRule type="expression" dxfId="335" priority="100">
      <formula>AND($G$68&gt;$D$68*4,E68&gt;1)</formula>
    </cfRule>
  </conditionalFormatting>
  <conditionalFormatting sqref="L28:L32">
    <cfRule type="duplicateValues" dxfId="334" priority="84"/>
  </conditionalFormatting>
  <conditionalFormatting sqref="H68">
    <cfRule type="expression" dxfId="333" priority="79">
      <formula>H68&lt;-1</formula>
    </cfRule>
  </conditionalFormatting>
  <conditionalFormatting sqref="H68">
    <cfRule type="expression" dxfId="332" priority="80">
      <formula>AND($G$68&gt;$D$68*4,E68&gt;1)</formula>
    </cfRule>
  </conditionalFormatting>
  <conditionalFormatting sqref="I68">
    <cfRule type="expression" dxfId="331" priority="76">
      <formula>I68&lt;-1</formula>
    </cfRule>
  </conditionalFormatting>
  <conditionalFormatting sqref="I68">
    <cfRule type="expression" dxfId="330" priority="77">
      <formula>AND($G$68&gt;$D$68*4,F68&gt;1)</formula>
    </cfRule>
  </conditionalFormatting>
  <conditionalFormatting sqref="I69 C20">
    <cfRule type="expression" dxfId="329" priority="55">
      <formula>ABS($C$20-$I$69)&gt;=0.01</formula>
    </cfRule>
  </conditionalFormatting>
  <conditionalFormatting sqref="H69 C26">
    <cfRule type="expression" dxfId="328" priority="54">
      <formula>ABS($C$26-$H$69)&gt;=0.01</formula>
    </cfRule>
  </conditionalFormatting>
  <conditionalFormatting sqref="E18">
    <cfRule type="expression" dxfId="327" priority="47">
      <formula>AND(Sperrung="j",CELL("Schutz",E18))</formula>
    </cfRule>
  </conditionalFormatting>
  <conditionalFormatting sqref="C24">
    <cfRule type="expression" dxfId="326" priority="45">
      <formula>AND(Sperrung="j",CELL("Schutz",C24))</formula>
    </cfRule>
  </conditionalFormatting>
  <conditionalFormatting sqref="W25:W26">
    <cfRule type="expression" dxfId="325" priority="40">
      <formula>W25&lt;-0.1</formula>
    </cfRule>
  </conditionalFormatting>
  <conditionalFormatting sqref="W30">
    <cfRule type="cellIs" dxfId="324" priority="26" operator="notEqual">
      <formula>0</formula>
    </cfRule>
  </conditionalFormatting>
  <conditionalFormatting sqref="W31">
    <cfRule type="expression" dxfId="323" priority="25">
      <formula>$W$30&lt;&gt;0</formula>
    </cfRule>
  </conditionalFormatting>
  <conditionalFormatting sqref="G38:G49 R38:R49">
    <cfRule type="expression" dxfId="322" priority="22">
      <formula>OR(AND($D38&gt;0,ISBLANK($G38)),AND($W38&gt;0,ISBLANK($G38)))</formula>
    </cfRule>
  </conditionalFormatting>
  <conditionalFormatting sqref="L38:L49 L53:L64">
    <cfRule type="expression" dxfId="321" priority="21">
      <formula>OR(AND($D38&gt;0,ISERROR(MATCH($L38,$L$28:$L$32,0))),AND($W38&gt;0,ISERROR(MATCH($L38,$L$28:$L$32,0))))</formula>
    </cfRule>
  </conditionalFormatting>
  <conditionalFormatting sqref="C25">
    <cfRule type="expression" dxfId="320" priority="17">
      <formula>$C$25&lt;$C$19-0.5</formula>
    </cfRule>
  </conditionalFormatting>
  <conditionalFormatting sqref="C25">
    <cfRule type="expression" dxfId="319" priority="16">
      <formula>AND(Sperrung="j",CELL("Schutz",C25))</formula>
    </cfRule>
  </conditionalFormatting>
  <conditionalFormatting sqref="F38:F49">
    <cfRule type="expression" dxfId="318" priority="14">
      <formula>AND(OR(B38="EEG-vol",B38="EEG-nvol"),F38="j")</formula>
    </cfRule>
    <cfRule type="expression" dxfId="317" priority="15">
      <formula>AND(F38="",OR(D38&lt;&gt;0,G38&lt;&gt;0,W38&lt;&gt;0))</formula>
    </cfRule>
  </conditionalFormatting>
  <conditionalFormatting sqref="C38:C49">
    <cfRule type="expression" dxfId="316" priority="13">
      <formula>AND(AND(B38&lt;&gt;0,B38&lt;&gt;"ohne vermNE"),C38=0)</formula>
    </cfRule>
  </conditionalFormatting>
  <conditionalFormatting sqref="C38:C49">
    <cfRule type="expression" dxfId="315" priority="11">
      <formula>AND(C38&lt;&gt;0,MOD(C38,1)&lt;&gt;0)</formula>
    </cfRule>
    <cfRule type="expression" dxfId="314" priority="12">
      <formula>AND(C38&lt;&gt;0,NOT(ISNUMBER(C38)))</formula>
    </cfRule>
  </conditionalFormatting>
  <conditionalFormatting sqref="V17">
    <cfRule type="expression" dxfId="313" priority="9">
      <formula>V17&gt;0</formula>
    </cfRule>
  </conditionalFormatting>
  <conditionalFormatting sqref="W17">
    <cfRule type="expression" dxfId="312" priority="8">
      <formula>ABS(IF(U69&gt;0,W15/U69*U68,W15)-$W$17)&gt;1</formula>
    </cfRule>
  </conditionalFormatting>
  <dataValidations count="8">
    <dataValidation type="list" allowBlank="1" showDropDown="1" showInputMessage="1" showErrorMessage="1" sqref="F53:F67" xr:uid="{00000000-0002-0000-0700-000000000000}">
      <formula1>"j,n"</formula1>
    </dataValidation>
    <dataValidation type="custom" allowBlank="1" showInputMessage="1" showErrorMessage="1" error="Bitte Wert negativ eingeben!" sqref="C19 W22 C25" xr:uid="{00000000-0002-0000-0700-000001000000}">
      <formula1>C19&lt;=0</formula1>
    </dataValidation>
    <dataValidation type="list" allowBlank="1" showInputMessage="1" showErrorMessage="1" sqref="B16 F38:F52" xr:uid="{00000000-0002-0000-0700-000002000000}">
      <formula1>"j,n"</formula1>
    </dataValidation>
    <dataValidation type="decimal" operator="greaterThanOrEqual" allowBlank="1" showInputMessage="1" showErrorMessage="1" error="Die Rückspeisevergütung muss positiv oder 0 sein._x000a_" sqref="V13:W14" xr:uid="{00000000-0002-0000-0700-000003000000}">
      <formula1>0</formula1>
    </dataValidation>
    <dataValidation type="list" allowBlank="1" showInputMessage="1" showErrorMessage="1" sqref="C28" xr:uid="{00000000-0002-0000-0700-000004000000}">
      <formula1>"1,2"</formula1>
    </dataValidation>
    <dataValidation type="list" allowBlank="1" showInputMessage="1" showErrorMessage="1" sqref="B51:C52" xr:uid="{00000000-0002-0000-0700-000005000000}">
      <formula1>"EEG,KWKG,Sonstige"</formula1>
    </dataValidation>
    <dataValidation type="list" allowBlank="1" showInputMessage="1" showErrorMessage="1" sqref="L53:L64 L38:L49" xr:uid="{00000000-0002-0000-0700-000006000000}">
      <formula1>$L$28:$L$32</formula1>
    </dataValidation>
    <dataValidation type="whole" allowBlank="1" showInputMessage="1" showErrorMessage="1" sqref="C38:C49" xr:uid="{00000000-0002-0000-0700-000007000000}">
      <formula1>1950</formula1>
      <formula2>2100</formula2>
    </dataValidation>
  </dataValidations>
  <printOptions horizontalCentered="1"/>
  <pageMargins left="0.39370078740157483" right="0.39370078740157483" top="0.39370078740157483" bottom="0.39370078740157483" header="0.51181102362204722" footer="0.51181102362204722"/>
  <pageSetup paperSize="9" scale="46" fitToWidth="2" orientation="landscape" r:id="rId1"/>
  <headerFooter alignWithMargins="0"/>
  <rowBreaks count="1" manualBreakCount="1">
    <brk id="33" max="29" man="1"/>
  </rowBreaks>
  <colBreaks count="1" manualBreakCount="1">
    <brk id="15" max="71" man="1"/>
  </colBreaks>
  <drawing r:id="rId2"/>
  <legacyDrawing r:id="rId3"/>
  <controls>
    <mc:AlternateContent xmlns:mc="http://schemas.openxmlformats.org/markup-compatibility/2006">
      <mc:Choice Requires="x14">
        <control shapeId="58408" r:id="rId4" name="CommandButton2">
          <controlPr defaultSize="0" autoLine="0" r:id="rId5">
            <anchor moveWithCells="1">
              <from>
                <xdr:col>0</xdr:col>
                <xdr:colOff>66675</xdr:colOff>
                <xdr:row>34</xdr:row>
                <xdr:rowOff>533400</xdr:rowOff>
              </from>
              <to>
                <xdr:col>0</xdr:col>
                <xdr:colOff>4457700</xdr:colOff>
                <xdr:row>34</xdr:row>
                <xdr:rowOff>962025</xdr:rowOff>
              </to>
            </anchor>
          </controlPr>
        </control>
      </mc:Choice>
      <mc:Fallback>
        <control shapeId="58408" r:id="rId4" name="CommandButton2"/>
      </mc:Fallback>
    </mc:AlternateContent>
    <mc:AlternateContent xmlns:mc="http://schemas.openxmlformats.org/markup-compatibility/2006">
      <mc:Choice Requires="x14">
        <control shapeId="58407" r:id="rId6" name="CommandButton1">
          <controlPr defaultSize="0" autoFill="0" autoLine="0" r:id="rId7">
            <anchor moveWithCells="1">
              <from>
                <xdr:col>0</xdr:col>
                <xdr:colOff>66675</xdr:colOff>
                <xdr:row>34</xdr:row>
                <xdr:rowOff>76200</xdr:rowOff>
              </from>
              <to>
                <xdr:col>0</xdr:col>
                <xdr:colOff>4457700</xdr:colOff>
                <xdr:row>34</xdr:row>
                <xdr:rowOff>504825</xdr:rowOff>
              </to>
            </anchor>
          </controlPr>
        </control>
      </mc:Choice>
      <mc:Fallback>
        <control shapeId="58407" r:id="rId6" name="CommandButton1"/>
      </mc:Fallback>
    </mc:AlternateContent>
  </controls>
  <tableParts count="2">
    <tablePart r:id="rId8"/>
    <tablePart r:id="rId9"/>
  </tableParts>
  <extLst>
    <ext xmlns:x14="http://schemas.microsoft.com/office/spreadsheetml/2009/9/main" uri="{78C0D931-6437-407d-A8EE-F0AAD7539E65}">
      <x14:conditionalFormattings>
        <x14:conditionalFormatting xmlns:xm="http://schemas.microsoft.com/office/excel/2006/main">
          <x14:cfRule type="expression" priority="38" id="{D0F1770B-2C6B-4CE5-B995-5B3B22B0DAF0}">
            <xm:f>OR($B53=Listen!$A$2,$B53=Listen!$A$1)</xm:f>
            <x14:dxf>
              <fill>
                <patternFill>
                  <bgColor theme="1"/>
                </patternFill>
              </fill>
            </x14:dxf>
          </x14:cfRule>
          <x14:cfRule type="expression" priority="39" id="{255A558B-863A-4A59-A25C-7643F9DF9C94}">
            <xm:f>IFERROR(MATCH(C53,OFFSET(Listen!$B$1:C$1,MATCH(B53,Listen!$A$1:$A$10,0)-1,0,1,2),0),0)=0</xm:f>
            <x14:dxf>
              <fill>
                <patternFill>
                  <bgColor rgb="FFFF0000"/>
                </patternFill>
              </fill>
            </x14:dxf>
          </x14:cfRule>
          <xm:sqref>C53:C64</xm:sqref>
        </x14:conditionalFormatting>
        <x14:conditionalFormatting xmlns:xm="http://schemas.microsoft.com/office/excel/2006/main">
          <x14:cfRule type="expression" priority="32" id="{919DFC72-EE18-498C-8FDE-0EE728F81A74}">
            <xm:f>OR(AND(J38&lt;&gt;K38,MATCH(B38,Listen!$A$1:$A$10,0)&gt;=3),AND(K38&lt;&gt;$K$21,B38=Listen!$A$2))</xm:f>
            <x14:dxf>
              <fill>
                <patternFill>
                  <bgColor rgb="FFFF0000"/>
                </patternFill>
              </fill>
            </x14:dxf>
          </x14:cfRule>
          <xm:sqref>K38:K49</xm:sqref>
        </x14:conditionalFormatting>
        <x14:conditionalFormatting xmlns:xm="http://schemas.microsoft.com/office/excel/2006/main">
          <x14:cfRule type="expression" priority="30" id="{C5868DF6-F1E4-41C4-AF1A-722EE185E70C}">
            <xm:f>OR(AND(J54&lt;&gt;K54,MATCH(B54,Listen!$A$1:$A$10,0)&gt;=3),AND(K54&lt;&gt;$K$21,B54=Listen!$A$2))</xm:f>
            <x14:dxf>
              <fill>
                <patternFill>
                  <bgColor rgb="FFFF0000"/>
                </patternFill>
              </fill>
            </x14:dxf>
          </x14:cfRule>
          <xm:sqref>K54:K64</xm:sqref>
        </x14:conditionalFormatting>
        <x14:conditionalFormatting xmlns:xm="http://schemas.microsoft.com/office/excel/2006/main">
          <x14:cfRule type="expression" priority="29" id="{DDEBD761-F5E5-4DED-89CA-833B6E32C6D9}">
            <xm:f>OR(AND(J53&lt;&gt;K53,MATCH(B53,Listen!$A$1:$A$10,0)&gt;=3),AND(K53&lt;&gt;$K$21,B53=Listen!$A$2))</xm:f>
            <x14:dxf>
              <fill>
                <patternFill>
                  <bgColor rgb="FFFF0000"/>
                </patternFill>
              </fill>
            </x14:dxf>
          </x14:cfRule>
          <xm:sqref>K53</xm:sqref>
        </x14:conditionalFormatting>
        <x14:conditionalFormatting xmlns:xm="http://schemas.microsoft.com/office/excel/2006/main">
          <x14:cfRule type="expression" priority="24" id="{57AE7802-1EBB-4099-9459-FB78CE091976}">
            <xm:f>OR(AND(B38&lt;&gt;0,IFERROR(VLOOKUP(B38,Listen!$A$1:$A$10,1,FALSE),0)=0),AND(B38=0,D38&lt;&gt;0),AND(B38=0,W38&lt;&gt;0))</xm:f>
            <x14:dxf>
              <fill>
                <patternFill>
                  <bgColor rgb="FFFF0000"/>
                </patternFill>
              </fill>
            </x14:dxf>
          </x14:cfRule>
          <xm:sqref>B38:B49</xm:sqref>
        </x14:conditionalFormatting>
        <x14:conditionalFormatting xmlns:xm="http://schemas.microsoft.com/office/excel/2006/main">
          <x14:cfRule type="expression" priority="19" id="{2E71F012-E78C-442D-9160-29E9E3700296}">
            <xm:f>OR(AND(B53&lt;&gt;0,IFERROR(VLOOKUP(B53,Listen!$A$1:$A$10,1,FALSE),0)=0),AND(B53=0,D53&lt;&gt;0),AND(B53=0,W53&lt;&gt;0))</xm:f>
            <x14:dxf>
              <fill>
                <patternFill>
                  <bgColor rgb="FFFF0000"/>
                </patternFill>
              </fill>
            </x14:dxf>
          </x14:cfRule>
          <xm:sqref>B53:B64</xm:sqref>
        </x14:conditionalFormatting>
        <x14:conditionalFormatting xmlns:xm="http://schemas.microsoft.com/office/excel/2006/main">
          <x14:cfRule type="expression" priority="10" id="{46F85C5B-B00A-492E-B534-7FFF818532BA}">
            <xm:f>OR($B38=Listen!$A$1,$B38=Listen!$A$2)</xm:f>
            <x14:dxf>
              <fill>
                <patternFill>
                  <bgColor theme="1"/>
                </patternFill>
              </fill>
            </x14:dxf>
          </x14:cfRule>
          <xm:sqref>C38:C49</xm:sqref>
        </x14:conditionalFormatting>
        <x14:conditionalFormatting xmlns:xm="http://schemas.microsoft.com/office/excel/2006/main">
          <x14:cfRule type="expression" priority="2" id="{F49E009F-C0ED-426F-8C65-A05FBC9CFC07}">
            <xm:f>AND(J38&lt;&gt;IF(AND(F38&lt;&gt;"",B38="Rückspeisung eN",Allgemeines!$B$29&lt;=2028),$J$21,0) +IF(AND(F38&lt;&gt;"",OR(B38="EEG-nvol",B38="KWKG",B38="Sonstige-nvol"),AND(OR(C38="&lt;= 2022",C38&lt;=2022),Allgemeines!$B$29&lt;=2025)),1,0) +IF(AND(F38&lt;&gt;"",OR(B38="EEG-nvol",B38="KWKG",B38="Sonstige-nvol"),AND(OR(C38="&lt;= 2022",C38&lt;=2022),Allgemeines!$B$29&gt;=2026)),MIN(1,MAX(0,1-(Allgemeines!$B$29-2025)/4)),0) +IF(AND(F38&lt;&gt;"",OR(B38="EEG-vol",B38="Sonstige-vol"),OR(C38="&lt;= 2017",C38&lt;=2017),C38&gt;1900),MIN(1,MAX(0,1-(Allgemeines!$B$29-2017)/3)),0),B38&lt;&gt;"Rückspeisung fN")</xm:f>
            <x14:dxf>
              <fill>
                <patternFill>
                  <bgColor rgb="FFFF0000"/>
                </patternFill>
              </fill>
            </x14:dxf>
          </x14:cfRule>
          <xm:sqref>J38:J49</xm:sqref>
        </x14:conditionalFormatting>
        <x14:conditionalFormatting xmlns:xm="http://schemas.microsoft.com/office/excel/2006/main">
          <x14:cfRule type="expression" priority="1" id="{B0552525-30EE-419E-B8E8-0DAD29FFD937}">
            <xm:f>AND(J53&lt;&gt;IF(AND(F53&lt;&gt;"",B53="Rückspeisung eN",Allgemeines!$B$29&lt;=2028),$J$21,0) +IF(AND(F53&lt;&gt;"",OR(B53="EEG-nvol",B53="KWKG",B53="Sonstige-nvol"),AND(OR(C53="&lt;= 2022",C53&lt;=2022),Allgemeines!$B$29&lt;=2025)),1,0) +IF(AND(F53&lt;&gt;"",OR(B53="EEG-nvol",B53="KWKG",B53="Sonstige-nvol"),AND(OR(C53="&lt;= 2022",C53&lt;=2022),Allgemeines!$B$29&gt;=2026)),MIN(1,MAX(0,1-(Allgemeines!$B$29-2025)/4)),0) +IF(AND(F53&lt;&gt;"",OR(B53="EEG-vol",B53="Sonstige-vol"),OR(C53="&lt;= 2017",C53&lt;=2017),C53&gt;1900),MIN(1,MAX(0,1-(Allgemeines!$B$29-2017)/3)),0),B53&lt;&gt;"Rückspeisung fN")</xm:f>
            <x14:dxf>
              <fill>
                <patternFill>
                  <bgColor rgb="FFFF0000"/>
                </patternFill>
              </fill>
            </x14:dxf>
          </x14:cfRule>
          <xm:sqref>J53:J64</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0700-000008000000}">
          <x14:formula1>
            <xm:f>Listen!$A$12:$A$14</xm:f>
          </x14:formula1>
          <xm:sqref>U35</xm:sqref>
        </x14:dataValidation>
        <x14:dataValidation type="list" allowBlank="1" showInputMessage="1" showErrorMessage="1" xr:uid="{00000000-0002-0000-0700-000009000000}">
          <x14:formula1>
            <xm:f>Listen!$A$1:$A$9</xm:f>
          </x14:formula1>
          <xm:sqref>B53:B64 B38:B49</xm:sqref>
        </x14:dataValidation>
        <x14:dataValidation type="list" allowBlank="1" showInputMessage="1" showErrorMessage="1" xr:uid="{00000000-0002-0000-0700-00000A000000}">
          <x14:formula1>
            <xm:f>OFFSET(Listen!$B$1:$C$1,MATCH(B53,Listen!$A$1:$A$7,0)-1,0,1,2)</xm:f>
          </x14:formula1>
          <xm:sqref>C53:C64</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9">
    <tabColor rgb="FFFFFF00"/>
  </sheetPr>
  <dimension ref="A1:AE72"/>
  <sheetViews>
    <sheetView topLeftCell="A35" workbookViewId="0">
      <selection activeCell="J53" sqref="J53:J64"/>
    </sheetView>
  </sheetViews>
  <sheetFormatPr baseColWidth="10" defaultColWidth="11.42578125" defaultRowHeight="15" x14ac:dyDescent="0.25"/>
  <cols>
    <col min="1" max="1" width="67.7109375" style="27" customWidth="1"/>
    <col min="2" max="2" width="15.7109375" style="27" customWidth="1"/>
    <col min="3" max="3" width="15.28515625" style="27" customWidth="1"/>
    <col min="4" max="9" width="16.7109375" style="27" customWidth="1"/>
    <col min="10" max="12" width="8.7109375" style="27" customWidth="1"/>
    <col min="13" max="17" width="16.7109375" style="27" customWidth="1"/>
    <col min="18" max="20" width="16" style="27" customWidth="1"/>
    <col min="21" max="21" width="16" style="69" customWidth="1"/>
    <col min="22" max="23" width="16" style="27" customWidth="1"/>
    <col min="24" max="29" width="15.85546875" style="27" customWidth="1"/>
    <col min="30" max="31" width="15.7109375" style="27" customWidth="1"/>
    <col min="32" max="16384" width="11.42578125" style="27"/>
  </cols>
  <sheetData>
    <row r="1" spans="1:30" x14ac:dyDescent="0.25">
      <c r="A1" s="4" t="str">
        <f>'JHL NS'!A1</f>
        <v>XY GmbH</v>
      </c>
      <c r="B1" s="4" t="str">
        <f>+IF(AF!B1="","",AF!B1)</f>
        <v/>
      </c>
      <c r="C1" s="4"/>
      <c r="D1" s="4"/>
      <c r="E1" s="4"/>
      <c r="F1" s="4"/>
      <c r="G1" s="4"/>
      <c r="H1" s="4"/>
      <c r="I1" s="4"/>
      <c r="J1" s="4"/>
      <c r="K1" s="4"/>
      <c r="L1" s="4"/>
      <c r="M1" s="4"/>
      <c r="N1" s="4"/>
      <c r="O1" s="4"/>
      <c r="P1" s="4"/>
      <c r="Q1" s="4"/>
      <c r="R1" s="4"/>
      <c r="S1" s="4"/>
      <c r="T1" s="4"/>
      <c r="U1" s="264"/>
      <c r="V1" s="4"/>
      <c r="W1" s="4"/>
      <c r="X1" s="4"/>
      <c r="Y1" s="4"/>
      <c r="Z1" s="4"/>
      <c r="AA1" s="4"/>
      <c r="AB1" s="4"/>
      <c r="AC1" s="4"/>
      <c r="AD1" s="4"/>
    </row>
    <row r="2" spans="1:30" x14ac:dyDescent="0.25">
      <c r="A2" s="182"/>
      <c r="U2" s="27"/>
    </row>
    <row r="3" spans="1:30" ht="15" customHeight="1" x14ac:dyDescent="0.25">
      <c r="A3" s="41" t="s">
        <v>20</v>
      </c>
      <c r="U3" s="27"/>
      <c r="V3" s="742" t="s">
        <v>289</v>
      </c>
      <c r="W3" s="743"/>
      <c r="X3" s="743"/>
      <c r="Y3" s="743"/>
      <c r="Z3" s="743"/>
      <c r="AA3" s="743"/>
      <c r="AB3" s="743"/>
      <c r="AC3" s="743"/>
      <c r="AD3" s="744"/>
    </row>
    <row r="4" spans="1:30" x14ac:dyDescent="0.25">
      <c r="U4" s="27"/>
      <c r="V4" s="745"/>
      <c r="W4" s="746"/>
      <c r="X4" s="746"/>
      <c r="Y4" s="746"/>
      <c r="Z4" s="746"/>
      <c r="AA4" s="746"/>
      <c r="AB4" s="746"/>
      <c r="AC4" s="746"/>
      <c r="AD4" s="747"/>
    </row>
    <row r="5" spans="1:30" x14ac:dyDescent="0.25">
      <c r="A5" s="265" t="s">
        <v>407</v>
      </c>
      <c r="U5" s="27"/>
      <c r="V5" s="745"/>
      <c r="W5" s="746"/>
      <c r="X5" s="746"/>
      <c r="Y5" s="746"/>
      <c r="Z5" s="746"/>
      <c r="AA5" s="746"/>
      <c r="AB5" s="746"/>
      <c r="AC5" s="746"/>
      <c r="AD5" s="747"/>
    </row>
    <row r="6" spans="1:30" x14ac:dyDescent="0.25">
      <c r="A6" s="41"/>
      <c r="U6" s="27"/>
      <c r="V6" s="745"/>
      <c r="W6" s="746"/>
      <c r="X6" s="746"/>
      <c r="Y6" s="746"/>
      <c r="Z6" s="746"/>
      <c r="AA6" s="746"/>
      <c r="AB6" s="746"/>
      <c r="AC6" s="746"/>
      <c r="AD6" s="747"/>
    </row>
    <row r="7" spans="1:30" x14ac:dyDescent="0.25">
      <c r="A7" s="266"/>
      <c r="B7" s="266"/>
      <c r="C7" s="267" t="s">
        <v>7</v>
      </c>
      <c r="P7" s="69"/>
      <c r="Q7" s="69"/>
      <c r="R7" s="69"/>
      <c r="S7" s="69"/>
      <c r="T7" s="69"/>
      <c r="U7" s="27"/>
      <c r="V7" s="745"/>
      <c r="W7" s="746"/>
      <c r="X7" s="746"/>
      <c r="Y7" s="746"/>
      <c r="Z7" s="746"/>
      <c r="AA7" s="746"/>
      <c r="AB7" s="746"/>
      <c r="AC7" s="746"/>
      <c r="AD7" s="747"/>
    </row>
    <row r="8" spans="1:30" s="174" customFormat="1" ht="16.5" x14ac:dyDescent="0.2">
      <c r="A8" s="268" t="s">
        <v>346</v>
      </c>
      <c r="B8" s="269" t="s">
        <v>25</v>
      </c>
      <c r="C8" s="270">
        <f>(AF!I13+AF!K13+AF!J13)*(1+AF!P13)</f>
        <v>0</v>
      </c>
      <c r="E8" s="173"/>
      <c r="F8" s="173"/>
      <c r="G8" s="173"/>
      <c r="O8" s="271"/>
      <c r="P8" s="272"/>
      <c r="Q8" s="272"/>
      <c r="R8" s="272"/>
      <c r="S8" s="272"/>
      <c r="T8" s="272"/>
      <c r="V8" s="748"/>
      <c r="W8" s="749"/>
      <c r="X8" s="749"/>
      <c r="Y8" s="749"/>
      <c r="Z8" s="749"/>
      <c r="AA8" s="749"/>
      <c r="AB8" s="749"/>
      <c r="AC8" s="749"/>
      <c r="AD8" s="750"/>
    </row>
    <row r="9" spans="1:30" ht="16.5" x14ac:dyDescent="0.3">
      <c r="A9" s="273" t="s">
        <v>142</v>
      </c>
      <c r="B9" s="274" t="s">
        <v>143</v>
      </c>
      <c r="C9" s="275">
        <f>-AF!D13-AF!C13</f>
        <v>0</v>
      </c>
      <c r="E9" s="170"/>
      <c r="O9" s="171"/>
      <c r="P9" s="66"/>
      <c r="Q9" s="66"/>
      <c r="R9" s="66"/>
      <c r="S9" s="66"/>
      <c r="T9" s="66"/>
      <c r="U9" s="276"/>
      <c r="V9" s="66"/>
    </row>
    <row r="10" spans="1:30" ht="16.5" x14ac:dyDescent="0.3">
      <c r="A10" s="277" t="s">
        <v>6</v>
      </c>
      <c r="B10" s="278" t="s">
        <v>160</v>
      </c>
      <c r="C10" s="279">
        <f>MAX(0,C8+C9)</f>
        <v>0</v>
      </c>
      <c r="E10" s="41"/>
      <c r="F10" s="41"/>
      <c r="G10" s="280"/>
      <c r="O10" s="281"/>
      <c r="P10" s="282"/>
      <c r="Q10" s="282"/>
      <c r="R10" s="282"/>
      <c r="S10" s="282"/>
      <c r="T10" s="282"/>
      <c r="U10" s="283"/>
      <c r="V10" s="282"/>
    </row>
    <row r="12" spans="1:30" ht="45" customHeight="1" x14ac:dyDescent="0.25">
      <c r="A12" s="284" t="s">
        <v>144</v>
      </c>
      <c r="B12" s="285" t="s">
        <v>145</v>
      </c>
      <c r="C12" s="286">
        <f>D69</f>
        <v>0</v>
      </c>
      <c r="F12" s="66"/>
      <c r="U12" s="27"/>
      <c r="V12" s="287" t="s">
        <v>382</v>
      </c>
      <c r="W12" s="288" t="s">
        <v>383</v>
      </c>
    </row>
    <row r="13" spans="1:30" ht="15" customHeight="1" x14ac:dyDescent="0.25">
      <c r="B13" s="176"/>
      <c r="P13" s="289" t="s">
        <v>299</v>
      </c>
      <c r="Q13" s="290"/>
      <c r="R13" s="290"/>
      <c r="S13" s="290"/>
      <c r="T13" s="290"/>
      <c r="U13" s="290"/>
      <c r="V13" s="64"/>
      <c r="W13" s="63"/>
    </row>
    <row r="14" spans="1:30" ht="15" customHeight="1" x14ac:dyDescent="0.3">
      <c r="A14" s="291" t="s">
        <v>163</v>
      </c>
      <c r="B14" s="292" t="s">
        <v>28</v>
      </c>
      <c r="C14" s="293">
        <f>IF(C12=0,0,C10/C12)</f>
        <v>0</v>
      </c>
      <c r="P14" s="294" t="s">
        <v>300</v>
      </c>
      <c r="Q14" s="295"/>
      <c r="R14" s="295"/>
      <c r="S14" s="295"/>
      <c r="T14" s="295"/>
      <c r="U14" s="295"/>
      <c r="V14" s="482">
        <f>SUMIF('vermNE MS'!$B$38:$B$49,Listen!A2,'vermNE MS'!$X$38:$X$49)+SUMIF('vermNE MS'!$B$53:$B$64,Listen!A2,'vermNE MS'!$X$53:$X$64)</f>
        <v>0</v>
      </c>
      <c r="W14" s="483">
        <f>SUMIF('vermNE MS'!$B$38:$B$49,Listen!$A$2,'vermNE MS'!$Y$38:$Y$49)</f>
        <v>0</v>
      </c>
    </row>
    <row r="15" spans="1:30" ht="15" customHeight="1" x14ac:dyDescent="0.25">
      <c r="B15" s="176"/>
      <c r="C15" s="70"/>
      <c r="P15" s="296" t="s">
        <v>301</v>
      </c>
      <c r="Q15" s="297"/>
      <c r="R15" s="297"/>
      <c r="S15" s="297"/>
      <c r="T15" s="297"/>
      <c r="U15" s="297"/>
      <c r="V15" s="298">
        <f>V13+V14</f>
        <v>0</v>
      </c>
      <c r="W15" s="299">
        <f>W13+W14</f>
        <v>0</v>
      </c>
    </row>
    <row r="16" spans="1:30" x14ac:dyDescent="0.25">
      <c r="A16" s="300" t="s">
        <v>34</v>
      </c>
      <c r="B16" s="6" t="s">
        <v>1</v>
      </c>
      <c r="C16" s="264"/>
      <c r="D16" s="264"/>
      <c r="P16" s="289" t="s">
        <v>303</v>
      </c>
      <c r="Q16" s="290"/>
      <c r="R16" s="290"/>
      <c r="S16" s="290"/>
      <c r="T16" s="290"/>
      <c r="U16" s="290"/>
      <c r="V16" s="681">
        <f>Q69</f>
        <v>0</v>
      </c>
      <c r="W16" s="682">
        <f>V69</f>
        <v>0</v>
      </c>
    </row>
    <row r="17" spans="1:25" x14ac:dyDescent="0.25">
      <c r="A17" s="266"/>
      <c r="B17" s="301"/>
      <c r="C17" s="267" t="s">
        <v>9</v>
      </c>
      <c r="D17" s="302"/>
      <c r="E17" s="303" t="s">
        <v>50</v>
      </c>
      <c r="F17" s="291" t="s">
        <v>49</v>
      </c>
      <c r="G17" s="304"/>
      <c r="H17" s="304"/>
      <c r="I17" s="304"/>
      <c r="J17" s="304"/>
      <c r="K17" s="304"/>
      <c r="L17" s="304"/>
      <c r="M17" s="304"/>
      <c r="N17" s="305"/>
      <c r="O17" s="306"/>
      <c r="P17" s="307" t="s">
        <v>302</v>
      </c>
      <c r="Q17" s="308"/>
      <c r="R17" s="308"/>
      <c r="S17" s="308"/>
      <c r="T17" s="308"/>
      <c r="U17" s="308"/>
      <c r="V17" s="679">
        <f>V15-V16</f>
        <v>0</v>
      </c>
      <c r="W17" s="680">
        <f>W15-W16</f>
        <v>0</v>
      </c>
    </row>
    <row r="18" spans="1:25" ht="15" customHeight="1" x14ac:dyDescent="0.3">
      <c r="A18" s="266" t="s">
        <v>171</v>
      </c>
      <c r="B18" s="301" t="s">
        <v>156</v>
      </c>
      <c r="C18" s="144">
        <f>'JHL MN'!B34</f>
        <v>0</v>
      </c>
      <c r="D18" s="311" t="s">
        <v>26</v>
      </c>
      <c r="E18" s="157" t="str">
        <f>'JHL MN'!B9</f>
        <v>noch einzutragen</v>
      </c>
      <c r="F18" s="266"/>
      <c r="G18" s="312"/>
      <c r="H18" s="312"/>
      <c r="I18" s="312"/>
      <c r="J18" s="312"/>
      <c r="K18" s="312"/>
      <c r="L18" s="312"/>
      <c r="M18" s="312"/>
      <c r="N18" s="313"/>
      <c r="O18" s="306"/>
      <c r="U18" s="27"/>
      <c r="V18" s="69"/>
    </row>
    <row r="19" spans="1:25" ht="16.5" x14ac:dyDescent="0.3">
      <c r="A19" s="273" t="s">
        <v>15</v>
      </c>
      <c r="B19" s="274" t="s">
        <v>95</v>
      </c>
      <c r="C19" s="116"/>
      <c r="D19" s="314"/>
      <c r="E19" s="40"/>
      <c r="F19" s="315" t="str">
        <f>IF(B16="n","Jahreshöchstlast der Übergabestelle(n) lt. Eingangsrechnung/des Bezugssummenlastgangs","Summe der Jahreshöchstlasten lt. Eingangsrechnungen/Summe der Jahreshöchstlasten der Bezugslastgänge der ungepoolten Übergabestellen")</f>
        <v>Summe der Jahreshöchstlasten lt. Eingangsrechnungen/Summe der Jahreshöchstlasten der Bezugslastgänge der ungepoolten Übergabestellen</v>
      </c>
      <c r="G19" s="4"/>
      <c r="H19" s="4"/>
      <c r="I19" s="4"/>
      <c r="J19" s="4"/>
      <c r="K19" s="4"/>
      <c r="L19" s="4"/>
      <c r="M19" s="4"/>
      <c r="N19" s="316"/>
      <c r="O19" s="306"/>
      <c r="P19" s="291"/>
      <c r="Q19" s="304"/>
      <c r="R19" s="304"/>
      <c r="S19" s="304"/>
      <c r="T19" s="304"/>
      <c r="U19" s="304"/>
      <c r="V19" s="292"/>
      <c r="W19" s="326" t="s">
        <v>9</v>
      </c>
      <c r="X19" s="291"/>
      <c r="Y19" s="305" t="s">
        <v>50</v>
      </c>
    </row>
    <row r="20" spans="1:25" ht="16.5" customHeight="1" x14ac:dyDescent="0.3">
      <c r="A20" s="277" t="s">
        <v>0</v>
      </c>
      <c r="B20" s="317" t="s">
        <v>151</v>
      </c>
      <c r="C20" s="318">
        <f>MAX(C18+C19,0)</f>
        <v>0</v>
      </c>
      <c r="F20" s="319"/>
      <c r="H20" s="320"/>
      <c r="P20" s="266" t="s">
        <v>387</v>
      </c>
      <c r="Q20" s="312"/>
      <c r="R20" s="312"/>
      <c r="S20" s="312"/>
      <c r="U20" s="27"/>
      <c r="V20" s="301" t="s">
        <v>287</v>
      </c>
      <c r="W20" s="115"/>
      <c r="X20" s="301" t="s">
        <v>286</v>
      </c>
      <c r="Y20" s="148"/>
    </row>
    <row r="21" spans="1:25" ht="15" customHeight="1" x14ac:dyDescent="0.3">
      <c r="A21" s="306"/>
      <c r="B21" s="176"/>
      <c r="C21" s="321"/>
      <c r="D21" s="322"/>
      <c r="F21" s="319"/>
      <c r="G21" s="291" t="s">
        <v>424</v>
      </c>
      <c r="H21" s="304"/>
      <c r="I21" s="304"/>
      <c r="J21" s="502">
        <f>'vermNE NS'!U72</f>
        <v>0</v>
      </c>
      <c r="K21" s="502">
        <f>'vermNE NS'!U71</f>
        <v>0</v>
      </c>
      <c r="L21" s="304"/>
      <c r="M21" s="304"/>
      <c r="N21" s="305"/>
      <c r="P21" s="329" t="s">
        <v>285</v>
      </c>
      <c r="U21" s="27"/>
      <c r="V21" s="330" t="s">
        <v>288</v>
      </c>
      <c r="W21" s="113"/>
      <c r="X21" s="333" t="s">
        <v>286</v>
      </c>
      <c r="Y21" s="334">
        <f>Y20</f>
        <v>0</v>
      </c>
    </row>
    <row r="22" spans="1:25" ht="15" customHeight="1" x14ac:dyDescent="0.3">
      <c r="A22" s="266"/>
      <c r="B22" s="301"/>
      <c r="C22" s="323" t="s">
        <v>9</v>
      </c>
      <c r="D22" s="324"/>
      <c r="E22" s="325" t="str">
        <f>E17</f>
        <v>Zeitpunkt</v>
      </c>
      <c r="G22" s="266"/>
      <c r="H22" s="312"/>
      <c r="I22" s="312"/>
      <c r="J22" s="312"/>
      <c r="K22" s="312"/>
      <c r="L22" s="739" t="s">
        <v>376</v>
      </c>
      <c r="M22" s="751" t="s">
        <v>373</v>
      </c>
      <c r="N22" s="753" t="s">
        <v>372</v>
      </c>
      <c r="P22" s="335" t="s">
        <v>388</v>
      </c>
      <c r="Q22" s="4"/>
      <c r="R22" s="4"/>
      <c r="S22" s="4"/>
      <c r="T22" s="4"/>
      <c r="U22" s="4"/>
      <c r="V22" s="274" t="s">
        <v>390</v>
      </c>
      <c r="W22" s="114"/>
      <c r="X22" s="337" t="s">
        <v>286</v>
      </c>
      <c r="Y22" s="338">
        <f>Y21</f>
        <v>0</v>
      </c>
    </row>
    <row r="23" spans="1:25" ht="15" customHeight="1" x14ac:dyDescent="0.3">
      <c r="A23" s="266" t="s">
        <v>172</v>
      </c>
      <c r="B23" s="301" t="s">
        <v>156</v>
      </c>
      <c r="C23" s="327">
        <f>C18</f>
        <v>0</v>
      </c>
      <c r="D23" s="311" t="s">
        <v>26</v>
      </c>
      <c r="E23" s="328" t="str">
        <f>IF($E$18="","",$E$18)</f>
        <v>noch einzutragen</v>
      </c>
      <c r="G23" s="306"/>
      <c r="L23" s="740"/>
      <c r="M23" s="752"/>
      <c r="N23" s="754"/>
      <c r="P23" s="291" t="s">
        <v>389</v>
      </c>
      <c r="Q23" s="304"/>
      <c r="R23" s="304"/>
      <c r="S23" s="304"/>
      <c r="T23" s="304"/>
      <c r="U23" s="304"/>
      <c r="V23" s="337" t="s">
        <v>391</v>
      </c>
      <c r="W23" s="342">
        <f>SUM(W20:W22)</f>
        <v>0</v>
      </c>
      <c r="X23" s="337" t="s">
        <v>286</v>
      </c>
      <c r="Y23" s="338">
        <f>Y22</f>
        <v>0</v>
      </c>
    </row>
    <row r="24" spans="1:25" ht="15" customHeight="1" x14ac:dyDescent="0.3">
      <c r="A24" s="329" t="s">
        <v>210</v>
      </c>
      <c r="B24" s="330" t="s">
        <v>173</v>
      </c>
      <c r="C24" s="158">
        <f>-'JHL MN'!B31-'JHL MN'!B32</f>
        <v>0</v>
      </c>
      <c r="D24" s="331" t="s">
        <v>26</v>
      </c>
      <c r="E24" s="332" t="str">
        <f>IF($E$18="","",$E$18)</f>
        <v>noch einzutragen</v>
      </c>
      <c r="G24" s="306"/>
      <c r="L24" s="740"/>
      <c r="M24" s="752"/>
      <c r="N24" s="754"/>
      <c r="W24" s="304"/>
    </row>
    <row r="25" spans="1:25" ht="16.5" customHeight="1" x14ac:dyDescent="0.3">
      <c r="A25" s="335" t="s">
        <v>68</v>
      </c>
      <c r="B25" s="274" t="s">
        <v>147</v>
      </c>
      <c r="C25" s="159">
        <f>-'JHL MN'!B27-'JHL MN'!B28</f>
        <v>0</v>
      </c>
      <c r="D25" s="314" t="s">
        <v>26</v>
      </c>
      <c r="E25" s="336" t="str">
        <f>IF($E$18="","",$E$18)</f>
        <v>noch einzutragen</v>
      </c>
      <c r="G25" s="306"/>
      <c r="L25" s="740"/>
      <c r="M25" s="752"/>
      <c r="N25" s="754"/>
      <c r="P25" s="266" t="s">
        <v>394</v>
      </c>
      <c r="Q25" s="312"/>
      <c r="R25" s="312"/>
      <c r="S25" s="312"/>
      <c r="T25" s="312"/>
      <c r="U25" s="312"/>
      <c r="V25" s="301" t="s">
        <v>290</v>
      </c>
      <c r="W25" s="349">
        <f>IF($C$28=1,
IF($D$67+$D$68&lt;&gt;0,(W23-R$66)/(($D$67+$D$68)/Allgemeines!$B$30),0),
IF($D$67&lt;&gt;0,R67/($D$67/Allgemeines!$B$30),0))</f>
        <v>0</v>
      </c>
    </row>
    <row r="26" spans="1:25" ht="16.5" customHeight="1" x14ac:dyDescent="0.3">
      <c r="A26" s="291" t="s">
        <v>174</v>
      </c>
      <c r="B26" s="292" t="s">
        <v>175</v>
      </c>
      <c r="C26" s="339">
        <f>SUM(C23:C25)</f>
        <v>0</v>
      </c>
      <c r="D26" s="314" t="s">
        <v>26</v>
      </c>
      <c r="E26" s="336" t="str">
        <f>IF($E$18="","",$E$18)</f>
        <v>noch einzutragen</v>
      </c>
      <c r="G26" s="315"/>
      <c r="H26" s="756" t="s">
        <v>375</v>
      </c>
      <c r="I26" s="756"/>
      <c r="J26" s="756"/>
      <c r="K26" s="756"/>
      <c r="L26" s="741"/>
      <c r="M26" s="340" t="s">
        <v>374</v>
      </c>
      <c r="N26" s="341" t="s">
        <v>476</v>
      </c>
      <c r="P26" s="315" t="s">
        <v>395</v>
      </c>
      <c r="Q26" s="4"/>
      <c r="R26" s="4"/>
      <c r="S26" s="4"/>
      <c r="T26" s="4"/>
      <c r="U26" s="4"/>
      <c r="V26" s="337" t="s">
        <v>291</v>
      </c>
      <c r="W26" s="351">
        <f>IF($C$28=1,W25,
IF($D$68&lt;&gt;0,(W23-SUM(R$38:R$49))/($D$68/Allgemeines!$B$30),0))</f>
        <v>0</v>
      </c>
    </row>
    <row r="27" spans="1:25" ht="16.5" customHeight="1" x14ac:dyDescent="0.25">
      <c r="B27" s="176"/>
      <c r="C27" s="66"/>
      <c r="D27" s="343"/>
      <c r="E27" s="344"/>
      <c r="G27" s="345" t="str">
        <f>CONCATENATE("Preisblatt für ",Allgemeines!B29)</f>
        <v>Preisblatt für 2027</v>
      </c>
      <c r="H27" s="755"/>
      <c r="I27" s="755"/>
      <c r="J27" s="755"/>
      <c r="K27" s="755"/>
      <c r="L27" s="346"/>
      <c r="M27" s="126"/>
      <c r="N27" s="127"/>
    </row>
    <row r="28" spans="1:25" x14ac:dyDescent="0.25">
      <c r="A28" s="266" t="s">
        <v>211</v>
      </c>
      <c r="B28" s="301"/>
      <c r="C28" s="347">
        <v>2</v>
      </c>
      <c r="D28" s="343"/>
      <c r="E28" s="319"/>
      <c r="G28" s="348" t="s">
        <v>325</v>
      </c>
      <c r="H28" s="757"/>
      <c r="I28" s="757"/>
      <c r="J28" s="757"/>
      <c r="K28" s="757"/>
      <c r="L28" s="135">
        <v>1</v>
      </c>
      <c r="M28" s="128"/>
      <c r="N28" s="129"/>
      <c r="U28" s="27"/>
      <c r="W28" s="553" t="s">
        <v>10</v>
      </c>
    </row>
    <row r="29" spans="1:25" ht="18" x14ac:dyDescent="0.25">
      <c r="A29" s="306" t="s">
        <v>212</v>
      </c>
      <c r="B29" s="333" t="s">
        <v>217</v>
      </c>
      <c r="C29" s="349">
        <f>IF($C$28=1,
IF($D$67+$D$68&lt;&gt;0,($C$26-G$66)/(($D$67+$D$68)/Allgemeines!$B$30),0),
IF($D$67&lt;&gt;0,G67/($D$67/Allgemeines!$B$30),0))</f>
        <v>0</v>
      </c>
      <c r="G29" s="350" t="s">
        <v>325</v>
      </c>
      <c r="H29" s="758"/>
      <c r="I29" s="758"/>
      <c r="J29" s="758"/>
      <c r="K29" s="758"/>
      <c r="L29" s="136"/>
      <c r="M29" s="125"/>
      <c r="N29" s="130"/>
      <c r="T29" s="291" t="s">
        <v>434</v>
      </c>
      <c r="U29" s="304"/>
      <c r="V29" s="304"/>
      <c r="W29" s="560">
        <v>0</v>
      </c>
    </row>
    <row r="30" spans="1:25" ht="18" x14ac:dyDescent="0.25">
      <c r="A30" s="315" t="s">
        <v>213</v>
      </c>
      <c r="B30" s="337" t="s">
        <v>218</v>
      </c>
      <c r="C30" s="351">
        <f>IF($C$28=1,C29,
IF($D$68&lt;&gt;0,($C$26-SUM(H$38:H$49))/($D$68/Allgemeines!$B$30),0))</f>
        <v>0</v>
      </c>
      <c r="D30" s="352"/>
      <c r="G30" s="350" t="s">
        <v>325</v>
      </c>
      <c r="H30" s="758"/>
      <c r="I30" s="758"/>
      <c r="J30" s="758"/>
      <c r="K30" s="758"/>
      <c r="L30" s="136"/>
      <c r="M30" s="125"/>
      <c r="N30" s="130"/>
      <c r="T30" s="306" t="s">
        <v>435</v>
      </c>
      <c r="U30" s="27"/>
      <c r="W30" s="499">
        <f>W29-W31</f>
        <v>0</v>
      </c>
    </row>
    <row r="31" spans="1:25" ht="16.5" x14ac:dyDescent="0.3">
      <c r="A31" s="315" t="s">
        <v>181</v>
      </c>
      <c r="B31" s="337" t="s">
        <v>31</v>
      </c>
      <c r="C31" s="342">
        <f>IF(C26&lt;&gt;0,C20/C26,0)</f>
        <v>0</v>
      </c>
      <c r="D31" s="352"/>
      <c r="G31" s="350" t="s">
        <v>325</v>
      </c>
      <c r="H31" s="758"/>
      <c r="I31" s="758"/>
      <c r="J31" s="758"/>
      <c r="K31" s="758"/>
      <c r="L31" s="136"/>
      <c r="M31" s="125"/>
      <c r="N31" s="130"/>
      <c r="T31" s="315" t="s">
        <v>436</v>
      </c>
      <c r="U31" s="4"/>
      <c r="V31" s="4"/>
      <c r="W31" s="500">
        <f>SUM(MNmL[Spalte222])+SUM(MNoL[Spalte222])</f>
        <v>0</v>
      </c>
    </row>
    <row r="32" spans="1:25" x14ac:dyDescent="0.25">
      <c r="B32" s="176"/>
      <c r="C32" s="321"/>
      <c r="D32" s="352"/>
      <c r="G32" s="353" t="s">
        <v>325</v>
      </c>
      <c r="H32" s="759"/>
      <c r="I32" s="759"/>
      <c r="J32" s="759"/>
      <c r="K32" s="759"/>
      <c r="L32" s="137"/>
      <c r="M32" s="131"/>
      <c r="N32" s="132"/>
    </row>
    <row r="33" spans="1:31" x14ac:dyDescent="0.25">
      <c r="B33" s="176"/>
      <c r="C33" s="321"/>
      <c r="D33" s="352"/>
      <c r="U33" s="27"/>
    </row>
    <row r="34" spans="1:31" ht="15.75" thickBot="1" x14ac:dyDescent="0.3">
      <c r="A34" s="354" t="s">
        <v>416</v>
      </c>
      <c r="B34" s="355"/>
      <c r="C34" s="355"/>
      <c r="D34" s="355"/>
      <c r="E34" s="355"/>
      <c r="F34" s="355"/>
      <c r="G34" s="356"/>
      <c r="H34" s="356"/>
      <c r="I34" s="356"/>
      <c r="J34" s="356"/>
      <c r="K34" s="356"/>
      <c r="L34" s="356"/>
      <c r="M34" s="357"/>
      <c r="N34" s="355"/>
      <c r="O34" s="355"/>
      <c r="P34" s="355"/>
      <c r="Q34" s="355"/>
      <c r="R34" s="355"/>
      <c r="S34" s="355"/>
      <c r="T34" s="355"/>
      <c r="U34" s="355"/>
      <c r="V34" s="355"/>
      <c r="W34" s="355"/>
      <c r="X34" s="355"/>
      <c r="Y34" s="355"/>
      <c r="Z34" s="356"/>
      <c r="AA34" s="356"/>
      <c r="AB34" s="355"/>
      <c r="AC34" s="355"/>
      <c r="AD34" s="355"/>
      <c r="AE34" s="355"/>
    </row>
    <row r="35" spans="1:31" s="69" customFormat="1" ht="90.75" x14ac:dyDescent="0.3">
      <c r="A35" s="358" t="s">
        <v>331</v>
      </c>
      <c r="B35" s="359" t="s">
        <v>369</v>
      </c>
      <c r="C35" s="359" t="s">
        <v>321</v>
      </c>
      <c r="D35" s="359" t="s">
        <v>8</v>
      </c>
      <c r="E35" s="360" t="s">
        <v>29</v>
      </c>
      <c r="F35" s="361" t="s">
        <v>2</v>
      </c>
      <c r="G35" s="359" t="s">
        <v>384</v>
      </c>
      <c r="H35" s="362" t="s">
        <v>385</v>
      </c>
      <c r="I35" s="363" t="s">
        <v>386</v>
      </c>
      <c r="J35" s="364" t="s">
        <v>363</v>
      </c>
      <c r="K35" s="364" t="s">
        <v>364</v>
      </c>
      <c r="L35" s="364" t="s">
        <v>376</v>
      </c>
      <c r="M35" s="364" t="s">
        <v>330</v>
      </c>
      <c r="N35" s="365" t="s">
        <v>254</v>
      </c>
      <c r="O35" s="366" t="s">
        <v>255</v>
      </c>
      <c r="P35" s="367" t="s">
        <v>318</v>
      </c>
      <c r="Q35" s="368" t="s">
        <v>256</v>
      </c>
      <c r="R35" s="359" t="s">
        <v>502</v>
      </c>
      <c r="S35" s="359" t="s">
        <v>501</v>
      </c>
      <c r="T35" s="369" t="s">
        <v>397</v>
      </c>
      <c r="U35" s="117" t="s">
        <v>298</v>
      </c>
      <c r="V35" s="368" t="s">
        <v>257</v>
      </c>
      <c r="W35" s="554" t="s">
        <v>439</v>
      </c>
      <c r="X35" s="656" t="s">
        <v>258</v>
      </c>
      <c r="Y35" s="657" t="s">
        <v>259</v>
      </c>
      <c r="Z35" s="365" t="str">
        <f>CONCATENATE("vermNE
Arbeit
ohne Rückspeisung
Preisblatt
für ",Allgemeines!B29)</f>
        <v>vermNE
Arbeit
ohne Rückspeisung
Preisblatt
für 2027</v>
      </c>
      <c r="AA35" s="365" t="str">
        <f>CONCATENATE("vermNE 
Leistung
ohne Rückspeisung
Preisblatt 
für ",Allgemeines!B29)</f>
        <v>vermNE 
Leistung
ohne Rückspeisung
Preisblatt 
für 2027</v>
      </c>
      <c r="AB35" s="370" t="str">
        <f>CONCATENATE("vermNE 
ohne Rückspeisung
Preisblatt 
für ",Allgemeines!B29)</f>
        <v>vermNE 
ohne Rückspeisung
Preisblatt 
für 2027</v>
      </c>
      <c r="AC35" s="365" t="s">
        <v>370</v>
      </c>
      <c r="AD35" s="368" t="s">
        <v>371</v>
      </c>
      <c r="AE35" s="366" t="s">
        <v>326</v>
      </c>
    </row>
    <row r="36" spans="1:31" s="69" customFormat="1" ht="15.75" thickBot="1" x14ac:dyDescent="0.3">
      <c r="A36" s="371"/>
      <c r="B36" s="372"/>
      <c r="C36" s="372"/>
      <c r="D36" s="372" t="s">
        <v>7</v>
      </c>
      <c r="E36" s="373" t="s">
        <v>7</v>
      </c>
      <c r="F36" s="374"/>
      <c r="G36" s="375" t="s">
        <v>9</v>
      </c>
      <c r="H36" s="375" t="s">
        <v>9</v>
      </c>
      <c r="I36" s="376" t="s">
        <v>9</v>
      </c>
      <c r="J36" s="377"/>
      <c r="K36" s="378"/>
      <c r="L36" s="378"/>
      <c r="M36" s="378"/>
      <c r="N36" s="379" t="s">
        <v>10</v>
      </c>
      <c r="O36" s="380" t="s">
        <v>10</v>
      </c>
      <c r="P36" s="381" t="s">
        <v>7</v>
      </c>
      <c r="Q36" s="382" t="s">
        <v>10</v>
      </c>
      <c r="R36" s="375" t="s">
        <v>9</v>
      </c>
      <c r="S36" s="375" t="s">
        <v>9</v>
      </c>
      <c r="T36" s="383" t="s">
        <v>9</v>
      </c>
      <c r="U36" s="372" t="str">
        <f>CHOOSE(RIGHT(U$35,1),P36,R36,T36)</f>
        <v>[kW]</v>
      </c>
      <c r="V36" s="382" t="s">
        <v>10</v>
      </c>
      <c r="W36" s="555" t="s">
        <v>10</v>
      </c>
      <c r="X36" s="658" t="s">
        <v>10</v>
      </c>
      <c r="Y36" s="659" t="s">
        <v>10</v>
      </c>
      <c r="Z36" s="379" t="s">
        <v>10</v>
      </c>
      <c r="AA36" s="379" t="s">
        <v>10</v>
      </c>
      <c r="AB36" s="384" t="s">
        <v>10</v>
      </c>
      <c r="AC36" s="379" t="s">
        <v>10</v>
      </c>
      <c r="AD36" s="382" t="s">
        <v>10</v>
      </c>
      <c r="AE36" s="380" t="s">
        <v>10</v>
      </c>
    </row>
    <row r="37" spans="1:31" s="69" customFormat="1" ht="15" hidden="1" customHeight="1" thickBot="1" x14ac:dyDescent="0.3">
      <c r="A37" s="385" t="s">
        <v>261</v>
      </c>
      <c r="B37" s="386" t="s">
        <v>262</v>
      </c>
      <c r="C37" s="386" t="s">
        <v>263</v>
      </c>
      <c r="D37" s="386" t="s">
        <v>264</v>
      </c>
      <c r="E37" s="387" t="s">
        <v>265</v>
      </c>
      <c r="F37" s="388" t="s">
        <v>266</v>
      </c>
      <c r="G37" s="386" t="s">
        <v>409</v>
      </c>
      <c r="H37" s="389" t="s">
        <v>410</v>
      </c>
      <c r="I37" s="390" t="s">
        <v>267</v>
      </c>
      <c r="J37" s="391" t="s">
        <v>268</v>
      </c>
      <c r="K37" s="391" t="s">
        <v>269</v>
      </c>
      <c r="L37" s="391" t="s">
        <v>270</v>
      </c>
      <c r="M37" s="391" t="s">
        <v>271</v>
      </c>
      <c r="N37" s="392" t="s">
        <v>272</v>
      </c>
      <c r="O37" s="393" t="s">
        <v>273</v>
      </c>
      <c r="P37" s="394" t="s">
        <v>274</v>
      </c>
      <c r="Q37" s="395" t="s">
        <v>275</v>
      </c>
      <c r="R37" s="386" t="s">
        <v>276</v>
      </c>
      <c r="S37" s="386" t="s">
        <v>277</v>
      </c>
      <c r="T37" s="396" t="s">
        <v>278</v>
      </c>
      <c r="U37" s="154" t="s">
        <v>319</v>
      </c>
      <c r="V37" s="395" t="s">
        <v>320</v>
      </c>
      <c r="W37" s="392" t="s">
        <v>438</v>
      </c>
      <c r="X37" s="660" t="s">
        <v>327</v>
      </c>
      <c r="Y37" s="661" t="s">
        <v>339</v>
      </c>
      <c r="Z37" s="392" t="s">
        <v>340</v>
      </c>
      <c r="AA37" s="392" t="s">
        <v>341</v>
      </c>
      <c r="AB37" s="397" t="s">
        <v>342</v>
      </c>
      <c r="AC37" s="392" t="s">
        <v>343</v>
      </c>
      <c r="AD37" s="395" t="s">
        <v>344</v>
      </c>
      <c r="AE37" s="393" t="s">
        <v>345</v>
      </c>
    </row>
    <row r="38" spans="1:31" x14ac:dyDescent="0.25">
      <c r="A38" s="149"/>
      <c r="B38" s="1"/>
      <c r="C38" s="1"/>
      <c r="D38" s="150"/>
      <c r="E38" s="398">
        <f>D38*$C$14</f>
        <v>0</v>
      </c>
      <c r="F38" s="5"/>
      <c r="G38" s="111"/>
      <c r="H38" s="399">
        <f>IF($F38="j",$D38/Allgemeines!$B$30*$C$29,G38)</f>
        <v>0</v>
      </c>
      <c r="I38" s="400">
        <f>H38*$C$31</f>
        <v>0</v>
      </c>
      <c r="J38" s="139">
        <f>IF(AND(F38&lt;&gt;"",B38="Rückspeisung eN",Allgemeines!$B$29&lt;=2028),$J$21,0)
+IF(AND(F38&lt;&gt;"",OR(B38="EEG-nvol",B38="KWKG",B38="Sonstige-nvol"),AND(OR(C38="&lt;= 2022",C38&lt;=2022),Allgemeines!$B$29&lt;=2025)),1,0)
+IF(AND(F38&lt;&gt;"",OR(B38="EEG-nvol",B38="KWKG",B38="Sonstige-nvol"),AND(OR(C38="&lt;= 2022",C38&lt;=2022),Allgemeines!$B$29&gt;=2026)),1-(Allgemeines!$B$29-2025)/4,0)
+IF(AND(F38&lt;&gt;"",OR(B38="EEG-vol",B38="Sonstige-vol"),OR(C38="&lt;= 2017",C38&lt;=2017),C38&gt;1900),MIN(1,MAX(0,1-(Allgemeines!$B$29-2017)/3)),0)</f>
        <v>0</v>
      </c>
      <c r="K38" s="139">
        <f t="shared" ref="K38:K49" si="0">IF(B38="Rückspeisung eN",$K$21,J38)</f>
        <v>0</v>
      </c>
      <c r="L38" s="138"/>
      <c r="M38" s="401" t="str">
        <f t="shared" ref="M38:M49" si="1">IF(MAX($AE38,$AB38)&gt;0,
IF($AE38&lt;$AB38,"R","A"),"")</f>
        <v/>
      </c>
      <c r="N38" s="402">
        <f t="shared" ref="N38:N49" si="2">IF($AE38&lt;$AB38,AC38,Z38)</f>
        <v>0</v>
      </c>
      <c r="O38" s="403">
        <f t="shared" ref="O38:O49" si="3">IF($AE38&lt;$AB38,AD38,AA38)</f>
        <v>0</v>
      </c>
      <c r="P38" s="404">
        <f t="shared" ref="P38:P49" si="4">D38*J38</f>
        <v>0</v>
      </c>
      <c r="Q38" s="405">
        <f t="shared" ref="Q38:Q49" si="5">IF($P$69&gt;0,$V$15*P38/$P$69,0)</f>
        <v>0</v>
      </c>
      <c r="R38" s="111"/>
      <c r="S38" s="399">
        <f>IF($F38="j",$D38/Allgemeines!$B$30*W$25,R38)*$K38</f>
        <v>0</v>
      </c>
      <c r="T38" s="406">
        <f t="shared" ref="T38:T49" si="6">H38*K38</f>
        <v>0</v>
      </c>
      <c r="U38" s="399">
        <f t="shared" ref="U38:U49" si="7">CHOOSE(RIGHT(U$35,1),P38,S38,T38)</f>
        <v>0</v>
      </c>
      <c r="V38" s="405">
        <f t="shared" ref="V38:V49" si="8">IF($U$69&gt;0,$W$15*U38/$U$69,0)</f>
        <v>0</v>
      </c>
      <c r="W38" s="558"/>
      <c r="X38" s="672">
        <f t="shared" ref="X38:X49" si="9">N38+Q38</f>
        <v>0</v>
      </c>
      <c r="Y38" s="663">
        <f t="shared" ref="Y38:Y49" si="10">O38+V38</f>
        <v>0</v>
      </c>
      <c r="Z38" s="402">
        <f t="shared" ref="Z38:Z49" si="11">IF(L38&lt;&gt;0,E38*M$27/100*$J38,0)</f>
        <v>0</v>
      </c>
      <c r="AA38" s="408">
        <f t="shared" ref="AA38:AA49" si="12">IF(AND(F38&lt;&gt;"",L38&lt;&gt;0),I38*N$27*$K38,0)</f>
        <v>0</v>
      </c>
      <c r="AB38" s="409">
        <f>Z38+AA38</f>
        <v>0</v>
      </c>
      <c r="AC38" s="402">
        <f t="shared" ref="AC38:AC49" si="13">IF(L38&lt;&gt;"",E38*IFERROR(VLOOKUP(L38,$L$28:$N$32,2,FALSE),0)/100*$J38,0)</f>
        <v>0</v>
      </c>
      <c r="AD38" s="408">
        <f t="shared" ref="AD38:AD49" si="14">IF(AND(F38&lt;&gt;"",L38&lt;&gt;""),I38*IFERROR(VLOOKUP(L38,$L$28:$N$32,3,FALSE),0)*$K38,0)</f>
        <v>0</v>
      </c>
      <c r="AE38" s="410">
        <f>AC38+AD38</f>
        <v>0</v>
      </c>
    </row>
    <row r="39" spans="1:31" x14ac:dyDescent="0.25">
      <c r="A39" s="133"/>
      <c r="B39" s="1"/>
      <c r="C39" s="1"/>
      <c r="D39" s="30"/>
      <c r="E39" s="398">
        <f t="shared" ref="E39:E49" si="15">D39*$C$14</f>
        <v>0</v>
      </c>
      <c r="F39" s="5"/>
      <c r="G39" s="111"/>
      <c r="H39" s="321">
        <f>IF(F39="j",D39/Allgemeines!$B$30*$C$29,G39)</f>
        <v>0</v>
      </c>
      <c r="I39" s="411">
        <f t="shared" ref="I39:I49" si="16">H39*$C$31</f>
        <v>0</v>
      </c>
      <c r="J39" s="139">
        <f>IF(AND(F39&lt;&gt;"",B39="Rückspeisung eN",Allgemeines!$B$29&lt;=2028),$J$21,0)
+IF(AND(F39&lt;&gt;"",OR(B39="EEG-nvol",B39="KWKG",B39="Sonstige-nvol"),AND(OR(C39="&lt;= 2022",C39&lt;=2022),Allgemeines!$B$29&lt;=2025)),1,0)
+IF(AND(F39&lt;&gt;"",OR(B39="EEG-nvol",B39="KWKG",B39="Sonstige-nvol"),AND(OR(C39="&lt;= 2022",C39&lt;=2022),Allgemeines!$B$29&gt;=2026)),1-(Allgemeines!$B$29-2025)/4,0)
+IF(AND(F39&lt;&gt;"",OR(B39="EEG-vol",B39="Sonstige-vol"),OR(C39="&lt;= 2017",C39&lt;=2017),C39&gt;1900),MIN(1,MAX(0,1-(Allgemeines!$B$29-2017)/3)),0)</f>
        <v>0</v>
      </c>
      <c r="K39" s="139">
        <f t="shared" si="0"/>
        <v>0</v>
      </c>
      <c r="L39" s="138"/>
      <c r="M39" s="69" t="str">
        <f t="shared" si="1"/>
        <v/>
      </c>
      <c r="N39" s="402">
        <f t="shared" si="2"/>
        <v>0</v>
      </c>
      <c r="O39" s="403">
        <f t="shared" si="3"/>
        <v>0</v>
      </c>
      <c r="P39" s="404">
        <f t="shared" si="4"/>
        <v>0</v>
      </c>
      <c r="Q39" s="405">
        <f t="shared" si="5"/>
        <v>0</v>
      </c>
      <c r="R39" s="111"/>
      <c r="S39" s="321">
        <f>IF($F39="j",$D39/Allgemeines!$B$30*W$25,R39)*$K39</f>
        <v>0</v>
      </c>
      <c r="T39" s="406">
        <f t="shared" si="6"/>
        <v>0</v>
      </c>
      <c r="U39" s="399">
        <f t="shared" si="7"/>
        <v>0</v>
      </c>
      <c r="V39" s="405">
        <f t="shared" si="8"/>
        <v>0</v>
      </c>
      <c r="W39" s="558"/>
      <c r="X39" s="662">
        <f t="shared" si="9"/>
        <v>0</v>
      </c>
      <c r="Y39" s="663">
        <f t="shared" si="10"/>
        <v>0</v>
      </c>
      <c r="Z39" s="402">
        <f t="shared" si="11"/>
        <v>0</v>
      </c>
      <c r="AA39" s="408">
        <f t="shared" si="12"/>
        <v>0</v>
      </c>
      <c r="AB39" s="409">
        <f t="shared" ref="AB39:AB49" si="17">Z39+AA39</f>
        <v>0</v>
      </c>
      <c r="AC39" s="402">
        <f t="shared" si="13"/>
        <v>0</v>
      </c>
      <c r="AD39" s="405">
        <f t="shared" si="14"/>
        <v>0</v>
      </c>
      <c r="AE39" s="412">
        <f t="shared" ref="AE39:AE49" si="18">AC39+AD39</f>
        <v>0</v>
      </c>
    </row>
    <row r="40" spans="1:31" x14ac:dyDescent="0.25">
      <c r="A40" s="133"/>
      <c r="B40" s="1"/>
      <c r="C40" s="1"/>
      <c r="D40" s="2"/>
      <c r="E40" s="398">
        <f t="shared" si="15"/>
        <v>0</v>
      </c>
      <c r="F40" s="5"/>
      <c r="G40" s="111"/>
      <c r="H40" s="321">
        <f>IF(F40="j",D40/Allgemeines!$B$30*$C$29,G40)</f>
        <v>0</v>
      </c>
      <c r="I40" s="411">
        <f t="shared" si="16"/>
        <v>0</v>
      </c>
      <c r="J40" s="139">
        <f>IF(AND(F40&lt;&gt;"",B40="Rückspeisung eN",Allgemeines!$B$29&lt;=2028),$J$21,0)
+IF(AND(F40&lt;&gt;"",OR(B40="EEG-nvol",B40="KWKG",B40="Sonstige-nvol"),AND(OR(C40="&lt;= 2022",C40&lt;=2022),Allgemeines!$B$29&lt;=2025)),1,0)
+IF(AND(F40&lt;&gt;"",OR(B40="EEG-nvol",B40="KWKG",B40="Sonstige-nvol"),AND(OR(C40="&lt;= 2022",C40&lt;=2022),Allgemeines!$B$29&gt;=2026)),1-(Allgemeines!$B$29-2025)/4,0)
+IF(AND(F40&lt;&gt;"",OR(B40="EEG-vol",B40="Sonstige-vol"),OR(C40="&lt;= 2017",C40&lt;=2017),C40&gt;1900),MIN(1,MAX(0,1-(Allgemeines!$B$29-2017)/3)),0)</f>
        <v>0</v>
      </c>
      <c r="K40" s="139">
        <f t="shared" si="0"/>
        <v>0</v>
      </c>
      <c r="L40" s="138"/>
      <c r="M40" s="71" t="str">
        <f t="shared" si="1"/>
        <v/>
      </c>
      <c r="N40" s="402">
        <f t="shared" si="2"/>
        <v>0</v>
      </c>
      <c r="O40" s="403">
        <f t="shared" si="3"/>
        <v>0</v>
      </c>
      <c r="P40" s="404">
        <f t="shared" si="4"/>
        <v>0</v>
      </c>
      <c r="Q40" s="405">
        <f t="shared" si="5"/>
        <v>0</v>
      </c>
      <c r="R40" s="111"/>
      <c r="S40" s="321">
        <f>IF($F40="j",$D40/Allgemeines!$B$30*W$25,R40)*$K40</f>
        <v>0</v>
      </c>
      <c r="T40" s="406">
        <f t="shared" si="6"/>
        <v>0</v>
      </c>
      <c r="U40" s="399">
        <f t="shared" si="7"/>
        <v>0</v>
      </c>
      <c r="V40" s="405">
        <f t="shared" si="8"/>
        <v>0</v>
      </c>
      <c r="W40" s="558"/>
      <c r="X40" s="662">
        <f t="shared" si="9"/>
        <v>0</v>
      </c>
      <c r="Y40" s="663">
        <f t="shared" si="10"/>
        <v>0</v>
      </c>
      <c r="Z40" s="402">
        <f t="shared" si="11"/>
        <v>0</v>
      </c>
      <c r="AA40" s="408">
        <f t="shared" si="12"/>
        <v>0</v>
      </c>
      <c r="AB40" s="409">
        <f t="shared" si="17"/>
        <v>0</v>
      </c>
      <c r="AC40" s="402">
        <f t="shared" si="13"/>
        <v>0</v>
      </c>
      <c r="AD40" s="405">
        <f t="shared" si="14"/>
        <v>0</v>
      </c>
      <c r="AE40" s="412">
        <f t="shared" si="18"/>
        <v>0</v>
      </c>
    </row>
    <row r="41" spans="1:31" x14ac:dyDescent="0.25">
      <c r="A41" s="133"/>
      <c r="B41" s="1"/>
      <c r="C41" s="1"/>
      <c r="D41" s="2"/>
      <c r="E41" s="398">
        <f t="shared" si="15"/>
        <v>0</v>
      </c>
      <c r="F41" s="5"/>
      <c r="G41" s="111"/>
      <c r="H41" s="321">
        <f>IF(F41="j",D41/Allgemeines!$B$30*$C$29,G41)</f>
        <v>0</v>
      </c>
      <c r="I41" s="411">
        <f t="shared" si="16"/>
        <v>0</v>
      </c>
      <c r="J41" s="139">
        <f>IF(AND(F41&lt;&gt;"",B41="Rückspeisung eN",Allgemeines!$B$29&lt;=2028),$J$21,0)
+IF(AND(F41&lt;&gt;"",OR(B41="EEG-nvol",B41="KWKG",B41="Sonstige-nvol"),AND(OR(C41="&lt;= 2022",C41&lt;=2022),Allgemeines!$B$29&lt;=2025)),1,0)
+IF(AND(F41&lt;&gt;"",OR(B41="EEG-nvol",B41="KWKG",B41="Sonstige-nvol"),AND(OR(C41="&lt;= 2022",C41&lt;=2022),Allgemeines!$B$29&gt;=2026)),1-(Allgemeines!$B$29-2025)/4,0)
+IF(AND(F41&lt;&gt;"",OR(B41="EEG-vol",B41="Sonstige-vol"),OR(C41="&lt;= 2017",C41&lt;=2017),C41&gt;1900),MIN(1,MAX(0,1-(Allgemeines!$B$29-2017)/3)),0)</f>
        <v>0</v>
      </c>
      <c r="K41" s="139">
        <f t="shared" si="0"/>
        <v>0</v>
      </c>
      <c r="L41" s="138"/>
      <c r="M41" s="71" t="str">
        <f t="shared" si="1"/>
        <v/>
      </c>
      <c r="N41" s="402">
        <f t="shared" si="2"/>
        <v>0</v>
      </c>
      <c r="O41" s="403">
        <f t="shared" si="3"/>
        <v>0</v>
      </c>
      <c r="P41" s="404">
        <f t="shared" si="4"/>
        <v>0</v>
      </c>
      <c r="Q41" s="405">
        <f t="shared" si="5"/>
        <v>0</v>
      </c>
      <c r="R41" s="111"/>
      <c r="S41" s="321">
        <f>IF($F41="j",$D41/Allgemeines!$B$30*W$25,R41)*$K41</f>
        <v>0</v>
      </c>
      <c r="T41" s="406">
        <f t="shared" si="6"/>
        <v>0</v>
      </c>
      <c r="U41" s="399">
        <f t="shared" si="7"/>
        <v>0</v>
      </c>
      <c r="V41" s="405">
        <f t="shared" si="8"/>
        <v>0</v>
      </c>
      <c r="W41" s="558"/>
      <c r="X41" s="662">
        <f t="shared" si="9"/>
        <v>0</v>
      </c>
      <c r="Y41" s="663">
        <f t="shared" si="10"/>
        <v>0</v>
      </c>
      <c r="Z41" s="402">
        <f t="shared" si="11"/>
        <v>0</v>
      </c>
      <c r="AA41" s="408">
        <f t="shared" si="12"/>
        <v>0</v>
      </c>
      <c r="AB41" s="409">
        <f t="shared" si="17"/>
        <v>0</v>
      </c>
      <c r="AC41" s="402">
        <f t="shared" si="13"/>
        <v>0</v>
      </c>
      <c r="AD41" s="405">
        <f t="shared" si="14"/>
        <v>0</v>
      </c>
      <c r="AE41" s="412">
        <f t="shared" si="18"/>
        <v>0</v>
      </c>
    </row>
    <row r="42" spans="1:31" x14ac:dyDescent="0.25">
      <c r="A42" s="134"/>
      <c r="B42" s="1"/>
      <c r="C42" s="1"/>
      <c r="D42" s="2"/>
      <c r="E42" s="398">
        <f>D42*$C$14</f>
        <v>0</v>
      </c>
      <c r="F42" s="5"/>
      <c r="G42" s="111"/>
      <c r="H42" s="321">
        <f>IF(F42="j",D42/Allgemeines!$B$30*$C$29,G42)</f>
        <v>0</v>
      </c>
      <c r="I42" s="411">
        <f>H42*$C$31</f>
        <v>0</v>
      </c>
      <c r="J42" s="139">
        <f>IF(AND(F42&lt;&gt;"",B42="Rückspeisung eN",Allgemeines!$B$29&lt;=2028),$J$21,0)
+IF(AND(F42&lt;&gt;"",OR(B42="EEG-nvol",B42="KWKG",B42="Sonstige-nvol"),AND(OR(C42="&lt;= 2022",C42&lt;=2022),Allgemeines!$B$29&lt;=2025)),1,0)
+IF(AND(F42&lt;&gt;"",OR(B42="EEG-nvol",B42="KWKG",B42="Sonstige-nvol"),AND(OR(C42="&lt;= 2022",C42&lt;=2022),Allgemeines!$B$29&gt;=2026)),1-(Allgemeines!$B$29-2025)/4,0)
+IF(AND(F42&lt;&gt;"",OR(B42="EEG-vol",B42="Sonstige-vol"),OR(C42="&lt;= 2017",C42&lt;=2017),C42&gt;1900),MIN(1,MAX(0,1-(Allgemeines!$B$29-2017)/3)),0)</f>
        <v>0</v>
      </c>
      <c r="K42" s="139">
        <f>IF(B42="Rückspeisung eN",$K$21,J42)</f>
        <v>0</v>
      </c>
      <c r="L42" s="138"/>
      <c r="M42" s="71" t="str">
        <f>IF(MAX($AE42,$AB42)&gt;0,
IF($AE42&lt;$AB42,"R","A"),"")</f>
        <v/>
      </c>
      <c r="N42" s="402">
        <f>IF($AE42&lt;$AB42,AC42,Z42)</f>
        <v>0</v>
      </c>
      <c r="O42" s="403">
        <f>IF($AE42&lt;$AB42,AD42,AA42)</f>
        <v>0</v>
      </c>
      <c r="P42" s="404">
        <f>D42*J42</f>
        <v>0</v>
      </c>
      <c r="Q42" s="405">
        <f t="shared" si="5"/>
        <v>0</v>
      </c>
      <c r="R42" s="111"/>
      <c r="S42" s="321">
        <f>IF($F42="j",$D42/Allgemeines!$B$30*W$25,R42)*$K42</f>
        <v>0</v>
      </c>
      <c r="T42" s="406">
        <f t="shared" si="6"/>
        <v>0</v>
      </c>
      <c r="U42" s="399">
        <f t="shared" si="7"/>
        <v>0</v>
      </c>
      <c r="V42" s="405">
        <f t="shared" si="8"/>
        <v>0</v>
      </c>
      <c r="W42" s="558"/>
      <c r="X42" s="662">
        <f>N42+Q42</f>
        <v>0</v>
      </c>
      <c r="Y42" s="663">
        <f>O42+V42</f>
        <v>0</v>
      </c>
      <c r="Z42" s="402">
        <f>IF(L42&lt;&gt;0,E42*M$27/100*$J42,0)</f>
        <v>0</v>
      </c>
      <c r="AA42" s="408">
        <f>IF(AND(F42&lt;&gt;"",L42&lt;&gt;0),I42*N$27*$K42,0)</f>
        <v>0</v>
      </c>
      <c r="AB42" s="409">
        <f>Z42+AA42</f>
        <v>0</v>
      </c>
      <c r="AC42" s="402">
        <f>IF(L42&lt;&gt;"",E42*IFERROR(VLOOKUP(L42,$L$28:$N$32,2,FALSE),0)/100*$J42,0)</f>
        <v>0</v>
      </c>
      <c r="AD42" s="405">
        <f>IF(AND(F42&lt;&gt;"",L42&lt;&gt;""),I42*IFERROR(VLOOKUP(L42,$L$28:$N$32,3,FALSE),0)*$K42,0)</f>
        <v>0</v>
      </c>
      <c r="AE42" s="412">
        <f>AC42+AD42</f>
        <v>0</v>
      </c>
    </row>
    <row r="43" spans="1:31" x14ac:dyDescent="0.25">
      <c r="A43" s="134"/>
      <c r="B43" s="1"/>
      <c r="C43" s="1"/>
      <c r="D43" s="2"/>
      <c r="E43" s="398">
        <f>D43*$C$14</f>
        <v>0</v>
      </c>
      <c r="F43" s="5"/>
      <c r="G43" s="111"/>
      <c r="H43" s="321">
        <f>IF(F43="j",D43/Allgemeines!$B$30*$C$29,G43)</f>
        <v>0</v>
      </c>
      <c r="I43" s="411">
        <f t="shared" si="16"/>
        <v>0</v>
      </c>
      <c r="J43" s="139">
        <f>IF(AND(F43&lt;&gt;"",B43="Rückspeisung eN",Allgemeines!$B$29&lt;=2028),$J$21,0)
+IF(AND(F43&lt;&gt;"",OR(B43="EEG-nvol",B43="KWKG",B43="Sonstige-nvol"),AND(OR(C43="&lt;= 2022",C43&lt;=2022),Allgemeines!$B$29&lt;=2025)),1,0)
+IF(AND(F43&lt;&gt;"",OR(B43="EEG-nvol",B43="KWKG",B43="Sonstige-nvol"),AND(OR(C43="&lt;= 2022",C43&lt;=2022),Allgemeines!$B$29&gt;=2026)),1-(Allgemeines!$B$29-2025)/4,0)
+IF(AND(F43&lt;&gt;"",OR(B43="EEG-vol",B43="Sonstige-vol"),OR(C43="&lt;= 2017",C43&lt;=2017),C43&gt;1900),MIN(1,MAX(0,1-(Allgemeines!$B$29-2017)/3)),0)</f>
        <v>0</v>
      </c>
      <c r="K43" s="139">
        <f t="shared" si="0"/>
        <v>0</v>
      </c>
      <c r="L43" s="138"/>
      <c r="M43" s="71" t="str">
        <f t="shared" si="1"/>
        <v/>
      </c>
      <c r="N43" s="402">
        <f t="shared" si="2"/>
        <v>0</v>
      </c>
      <c r="O43" s="403">
        <f t="shared" si="3"/>
        <v>0</v>
      </c>
      <c r="P43" s="404">
        <f t="shared" si="4"/>
        <v>0</v>
      </c>
      <c r="Q43" s="405">
        <f t="shared" si="5"/>
        <v>0</v>
      </c>
      <c r="R43" s="111"/>
      <c r="S43" s="321">
        <f>IF($F43="j",$D43/Allgemeines!$B$30*W$25,R43)*$K43</f>
        <v>0</v>
      </c>
      <c r="T43" s="406">
        <f t="shared" si="6"/>
        <v>0</v>
      </c>
      <c r="U43" s="399">
        <f t="shared" si="7"/>
        <v>0</v>
      </c>
      <c r="V43" s="405">
        <f t="shared" si="8"/>
        <v>0</v>
      </c>
      <c r="W43" s="558"/>
      <c r="X43" s="662">
        <f t="shared" si="9"/>
        <v>0</v>
      </c>
      <c r="Y43" s="663">
        <f t="shared" si="10"/>
        <v>0</v>
      </c>
      <c r="Z43" s="402">
        <f t="shared" si="11"/>
        <v>0</v>
      </c>
      <c r="AA43" s="408">
        <f t="shared" si="12"/>
        <v>0</v>
      </c>
      <c r="AB43" s="409">
        <f t="shared" si="17"/>
        <v>0</v>
      </c>
      <c r="AC43" s="402">
        <f t="shared" si="13"/>
        <v>0</v>
      </c>
      <c r="AD43" s="405">
        <f t="shared" si="14"/>
        <v>0</v>
      </c>
      <c r="AE43" s="412">
        <f t="shared" si="18"/>
        <v>0</v>
      </c>
    </row>
    <row r="44" spans="1:31" x14ac:dyDescent="0.25">
      <c r="A44" s="134"/>
      <c r="B44" s="1"/>
      <c r="C44" s="1"/>
      <c r="D44" s="2"/>
      <c r="E44" s="398">
        <f t="shared" si="15"/>
        <v>0</v>
      </c>
      <c r="F44" s="5"/>
      <c r="G44" s="111"/>
      <c r="H44" s="321">
        <f>IF(F44="j",D44/Allgemeines!$B$30*$C$29,G44)</f>
        <v>0</v>
      </c>
      <c r="I44" s="411">
        <f t="shared" si="16"/>
        <v>0</v>
      </c>
      <c r="J44" s="139">
        <f>IF(AND(F44&lt;&gt;"",B44="Rückspeisung eN",Allgemeines!$B$29&lt;=2028),$J$21,0)
+IF(AND(F44&lt;&gt;"",OR(B44="EEG-nvol",B44="KWKG",B44="Sonstige-nvol"),AND(OR(C44="&lt;= 2022",C44&lt;=2022),Allgemeines!$B$29&lt;=2025)),1,0)
+IF(AND(F44&lt;&gt;"",OR(B44="EEG-nvol",B44="KWKG",B44="Sonstige-nvol"),AND(OR(C44="&lt;= 2022",C44&lt;=2022),Allgemeines!$B$29&gt;=2026)),1-(Allgemeines!$B$29-2025)/4,0)
+IF(AND(F44&lt;&gt;"",OR(B44="EEG-vol",B44="Sonstige-vol"),OR(C44="&lt;= 2017",C44&lt;=2017),C44&gt;1900),MIN(1,MAX(0,1-(Allgemeines!$B$29-2017)/3)),0)</f>
        <v>0</v>
      </c>
      <c r="K44" s="139">
        <f t="shared" si="0"/>
        <v>0</v>
      </c>
      <c r="L44" s="138"/>
      <c r="M44" s="71" t="str">
        <f t="shared" si="1"/>
        <v/>
      </c>
      <c r="N44" s="402">
        <f t="shared" si="2"/>
        <v>0</v>
      </c>
      <c r="O44" s="403">
        <f t="shared" si="3"/>
        <v>0</v>
      </c>
      <c r="P44" s="404">
        <f t="shared" si="4"/>
        <v>0</v>
      </c>
      <c r="Q44" s="405">
        <f t="shared" si="5"/>
        <v>0</v>
      </c>
      <c r="R44" s="111"/>
      <c r="S44" s="321">
        <f>IF($F44="j",$D44/Allgemeines!$B$30*W$25,R44)*$K44</f>
        <v>0</v>
      </c>
      <c r="T44" s="406">
        <f t="shared" si="6"/>
        <v>0</v>
      </c>
      <c r="U44" s="399">
        <f t="shared" si="7"/>
        <v>0</v>
      </c>
      <c r="V44" s="405">
        <f t="shared" si="8"/>
        <v>0</v>
      </c>
      <c r="W44" s="558"/>
      <c r="X44" s="662">
        <f t="shared" si="9"/>
        <v>0</v>
      </c>
      <c r="Y44" s="663">
        <f t="shared" si="10"/>
        <v>0</v>
      </c>
      <c r="Z44" s="402">
        <f t="shared" si="11"/>
        <v>0</v>
      </c>
      <c r="AA44" s="408">
        <f t="shared" si="12"/>
        <v>0</v>
      </c>
      <c r="AB44" s="409">
        <f t="shared" si="17"/>
        <v>0</v>
      </c>
      <c r="AC44" s="402">
        <f t="shared" si="13"/>
        <v>0</v>
      </c>
      <c r="AD44" s="405">
        <f t="shared" si="14"/>
        <v>0</v>
      </c>
      <c r="AE44" s="412">
        <f t="shared" si="18"/>
        <v>0</v>
      </c>
    </row>
    <row r="45" spans="1:31" x14ac:dyDescent="0.25">
      <c r="A45" s="134"/>
      <c r="B45" s="1"/>
      <c r="C45" s="1"/>
      <c r="D45" s="2"/>
      <c r="E45" s="398">
        <f t="shared" si="15"/>
        <v>0</v>
      </c>
      <c r="F45" s="5"/>
      <c r="G45" s="111"/>
      <c r="H45" s="321">
        <f>IF(F45="j",D45/Allgemeines!$B$30*$C$29,G45)</f>
        <v>0</v>
      </c>
      <c r="I45" s="411">
        <f t="shared" si="16"/>
        <v>0</v>
      </c>
      <c r="J45" s="139">
        <f>IF(AND(F45&lt;&gt;"",B45="Rückspeisung eN",Allgemeines!$B$29&lt;=2028),$J$21,0)
+IF(AND(F45&lt;&gt;"",OR(B45="EEG-nvol",B45="KWKG",B45="Sonstige-nvol"),AND(OR(C45="&lt;= 2022",C45&lt;=2022),Allgemeines!$B$29&lt;=2025)),1,0)
+IF(AND(F45&lt;&gt;"",OR(B45="EEG-nvol",B45="KWKG",B45="Sonstige-nvol"),AND(OR(C45="&lt;= 2022",C45&lt;=2022),Allgemeines!$B$29&gt;=2026)),1-(Allgemeines!$B$29-2025)/4,0)
+IF(AND(F45&lt;&gt;"",OR(B45="EEG-vol",B45="Sonstige-vol"),OR(C45="&lt;= 2017",C45&lt;=2017),C45&gt;1900),MIN(1,MAX(0,1-(Allgemeines!$B$29-2017)/3)),0)</f>
        <v>0</v>
      </c>
      <c r="K45" s="139">
        <f t="shared" si="0"/>
        <v>0</v>
      </c>
      <c r="L45" s="138"/>
      <c r="M45" s="71" t="str">
        <f t="shared" si="1"/>
        <v/>
      </c>
      <c r="N45" s="402">
        <f t="shared" si="2"/>
        <v>0</v>
      </c>
      <c r="O45" s="403">
        <f t="shared" si="3"/>
        <v>0</v>
      </c>
      <c r="P45" s="404">
        <f t="shared" si="4"/>
        <v>0</v>
      </c>
      <c r="Q45" s="405">
        <f t="shared" si="5"/>
        <v>0</v>
      </c>
      <c r="R45" s="111"/>
      <c r="S45" s="321">
        <f>IF($F45="j",$D45/Allgemeines!$B$30*W$25,R45)*$K45</f>
        <v>0</v>
      </c>
      <c r="T45" s="406">
        <f t="shared" si="6"/>
        <v>0</v>
      </c>
      <c r="U45" s="399">
        <f t="shared" si="7"/>
        <v>0</v>
      </c>
      <c r="V45" s="405">
        <f t="shared" si="8"/>
        <v>0</v>
      </c>
      <c r="W45" s="558"/>
      <c r="X45" s="662">
        <f t="shared" si="9"/>
        <v>0</v>
      </c>
      <c r="Y45" s="663">
        <f t="shared" si="10"/>
        <v>0</v>
      </c>
      <c r="Z45" s="402">
        <f t="shared" si="11"/>
        <v>0</v>
      </c>
      <c r="AA45" s="408">
        <f t="shared" si="12"/>
        <v>0</v>
      </c>
      <c r="AB45" s="409">
        <f t="shared" si="17"/>
        <v>0</v>
      </c>
      <c r="AC45" s="402">
        <f t="shared" si="13"/>
        <v>0</v>
      </c>
      <c r="AD45" s="405">
        <f t="shared" si="14"/>
        <v>0</v>
      </c>
      <c r="AE45" s="412">
        <f t="shared" si="18"/>
        <v>0</v>
      </c>
    </row>
    <row r="46" spans="1:31" x14ac:dyDescent="0.25">
      <c r="A46" s="134"/>
      <c r="B46" s="1"/>
      <c r="C46" s="1"/>
      <c r="D46" s="2"/>
      <c r="E46" s="398">
        <f t="shared" si="15"/>
        <v>0</v>
      </c>
      <c r="F46" s="5"/>
      <c r="G46" s="111"/>
      <c r="H46" s="321">
        <f>IF(F46="j",D46/Allgemeines!$B$30*$C$29,G46)</f>
        <v>0</v>
      </c>
      <c r="I46" s="411">
        <f t="shared" si="16"/>
        <v>0</v>
      </c>
      <c r="J46" s="139">
        <f>IF(AND(F46&lt;&gt;"",B46="Rückspeisung eN",Allgemeines!$B$29&lt;=2028),$J$21,0)
+IF(AND(F46&lt;&gt;"",OR(B46="EEG-nvol",B46="KWKG",B46="Sonstige-nvol"),AND(OR(C46="&lt;= 2022",C46&lt;=2022),Allgemeines!$B$29&lt;=2025)),1,0)
+IF(AND(F46&lt;&gt;"",OR(B46="EEG-nvol",B46="KWKG",B46="Sonstige-nvol"),AND(OR(C46="&lt;= 2022",C46&lt;=2022),Allgemeines!$B$29&gt;=2026)),1-(Allgemeines!$B$29-2025)/4,0)
+IF(AND(F46&lt;&gt;"",OR(B46="EEG-vol",B46="Sonstige-vol"),OR(C46="&lt;= 2017",C46&lt;=2017),C46&gt;1900),MIN(1,MAX(0,1-(Allgemeines!$B$29-2017)/3)),0)</f>
        <v>0</v>
      </c>
      <c r="K46" s="139">
        <f t="shared" si="0"/>
        <v>0</v>
      </c>
      <c r="L46" s="138"/>
      <c r="M46" s="71" t="str">
        <f t="shared" si="1"/>
        <v/>
      </c>
      <c r="N46" s="402">
        <f t="shared" si="2"/>
        <v>0</v>
      </c>
      <c r="O46" s="403">
        <f t="shared" si="3"/>
        <v>0</v>
      </c>
      <c r="P46" s="404">
        <f t="shared" si="4"/>
        <v>0</v>
      </c>
      <c r="Q46" s="405">
        <f t="shared" si="5"/>
        <v>0</v>
      </c>
      <c r="R46" s="111"/>
      <c r="S46" s="321">
        <f>IF($F46="j",$D46/Allgemeines!$B$30*W$25,R46)*$K46</f>
        <v>0</v>
      </c>
      <c r="T46" s="406">
        <f t="shared" si="6"/>
        <v>0</v>
      </c>
      <c r="U46" s="399">
        <f t="shared" si="7"/>
        <v>0</v>
      </c>
      <c r="V46" s="405">
        <f t="shared" si="8"/>
        <v>0</v>
      </c>
      <c r="W46" s="558"/>
      <c r="X46" s="662">
        <f t="shared" si="9"/>
        <v>0</v>
      </c>
      <c r="Y46" s="663">
        <f t="shared" si="10"/>
        <v>0</v>
      </c>
      <c r="Z46" s="402">
        <f t="shared" si="11"/>
        <v>0</v>
      </c>
      <c r="AA46" s="408">
        <f t="shared" si="12"/>
        <v>0</v>
      </c>
      <c r="AB46" s="409">
        <f t="shared" si="17"/>
        <v>0</v>
      </c>
      <c r="AC46" s="402">
        <f t="shared" si="13"/>
        <v>0</v>
      </c>
      <c r="AD46" s="405">
        <f t="shared" si="14"/>
        <v>0</v>
      </c>
      <c r="AE46" s="412">
        <f t="shared" si="18"/>
        <v>0</v>
      </c>
    </row>
    <row r="47" spans="1:31" x14ac:dyDescent="0.25">
      <c r="A47" s="134"/>
      <c r="B47" s="1"/>
      <c r="C47" s="1"/>
      <c r="D47" s="2"/>
      <c r="E47" s="398">
        <f t="shared" si="15"/>
        <v>0</v>
      </c>
      <c r="F47" s="5"/>
      <c r="G47" s="111"/>
      <c r="H47" s="321">
        <f>IF(F47="j",D47/Allgemeines!$B$30*$C$29,G47)</f>
        <v>0</v>
      </c>
      <c r="I47" s="411">
        <f t="shared" si="16"/>
        <v>0</v>
      </c>
      <c r="J47" s="139">
        <f>IF(AND(F47&lt;&gt;"",B47="Rückspeisung eN",Allgemeines!$B$29&lt;=2028),$J$21,0)
+IF(AND(F47&lt;&gt;"",OR(B47="EEG-nvol",B47="KWKG",B47="Sonstige-nvol"),AND(OR(C47="&lt;= 2022",C47&lt;=2022),Allgemeines!$B$29&lt;=2025)),1,0)
+IF(AND(F47&lt;&gt;"",OR(B47="EEG-nvol",B47="KWKG",B47="Sonstige-nvol"),AND(OR(C47="&lt;= 2022",C47&lt;=2022),Allgemeines!$B$29&gt;=2026)),1-(Allgemeines!$B$29-2025)/4,0)
+IF(AND(F47&lt;&gt;"",OR(B47="EEG-vol",B47="Sonstige-vol"),OR(C47="&lt;= 2017",C47&lt;=2017),C47&gt;1900),MIN(1,MAX(0,1-(Allgemeines!$B$29-2017)/3)),0)</f>
        <v>0</v>
      </c>
      <c r="K47" s="139">
        <f t="shared" si="0"/>
        <v>0</v>
      </c>
      <c r="L47" s="138"/>
      <c r="M47" s="71" t="str">
        <f t="shared" si="1"/>
        <v/>
      </c>
      <c r="N47" s="402">
        <f t="shared" si="2"/>
        <v>0</v>
      </c>
      <c r="O47" s="403">
        <f t="shared" si="3"/>
        <v>0</v>
      </c>
      <c r="P47" s="404">
        <f t="shared" si="4"/>
        <v>0</v>
      </c>
      <c r="Q47" s="405">
        <f t="shared" si="5"/>
        <v>0</v>
      </c>
      <c r="R47" s="111"/>
      <c r="S47" s="321">
        <f>IF($F47="j",$D47/Allgemeines!$B$30*W$25,R47)*$K47</f>
        <v>0</v>
      </c>
      <c r="T47" s="406">
        <f t="shared" si="6"/>
        <v>0</v>
      </c>
      <c r="U47" s="399">
        <f t="shared" si="7"/>
        <v>0</v>
      </c>
      <c r="V47" s="405">
        <f t="shared" si="8"/>
        <v>0</v>
      </c>
      <c r="W47" s="558"/>
      <c r="X47" s="662">
        <f t="shared" si="9"/>
        <v>0</v>
      </c>
      <c r="Y47" s="663">
        <f t="shared" si="10"/>
        <v>0</v>
      </c>
      <c r="Z47" s="402">
        <f t="shared" si="11"/>
        <v>0</v>
      </c>
      <c r="AA47" s="408">
        <f t="shared" si="12"/>
        <v>0</v>
      </c>
      <c r="AB47" s="409">
        <f t="shared" si="17"/>
        <v>0</v>
      </c>
      <c r="AC47" s="402">
        <f t="shared" si="13"/>
        <v>0</v>
      </c>
      <c r="AD47" s="405">
        <f t="shared" si="14"/>
        <v>0</v>
      </c>
      <c r="AE47" s="412">
        <f t="shared" si="18"/>
        <v>0</v>
      </c>
    </row>
    <row r="48" spans="1:31" x14ac:dyDescent="0.25">
      <c r="A48" s="134"/>
      <c r="B48" s="1"/>
      <c r="C48" s="1"/>
      <c r="D48" s="2"/>
      <c r="E48" s="398">
        <f t="shared" si="15"/>
        <v>0</v>
      </c>
      <c r="F48" s="5"/>
      <c r="G48" s="111"/>
      <c r="H48" s="321">
        <f>IF(F48="j",D48/Allgemeines!$B$30*$C$29,G48)</f>
        <v>0</v>
      </c>
      <c r="I48" s="411">
        <f t="shared" si="16"/>
        <v>0</v>
      </c>
      <c r="J48" s="139">
        <f>IF(AND(F48&lt;&gt;"",B48="Rückspeisung eN",Allgemeines!$B$29&lt;=2028),$J$21,0)
+IF(AND(F48&lt;&gt;"",OR(B48="EEG-nvol",B48="KWKG",B48="Sonstige-nvol"),AND(OR(C48="&lt;= 2022",C48&lt;=2022),Allgemeines!$B$29&lt;=2025)),1,0)
+IF(AND(F48&lt;&gt;"",OR(B48="EEG-nvol",B48="KWKG",B48="Sonstige-nvol"),AND(OR(C48="&lt;= 2022",C48&lt;=2022),Allgemeines!$B$29&gt;=2026)),1-(Allgemeines!$B$29-2025)/4,0)
+IF(AND(F48&lt;&gt;"",OR(B48="EEG-vol",B48="Sonstige-vol"),OR(C48="&lt;= 2017",C48&lt;=2017),C48&gt;1900),MIN(1,MAX(0,1-(Allgemeines!$B$29-2017)/3)),0)</f>
        <v>0</v>
      </c>
      <c r="K48" s="139">
        <f t="shared" si="0"/>
        <v>0</v>
      </c>
      <c r="L48" s="138"/>
      <c r="M48" s="71" t="str">
        <f t="shared" si="1"/>
        <v/>
      </c>
      <c r="N48" s="402">
        <f t="shared" si="2"/>
        <v>0</v>
      </c>
      <c r="O48" s="403">
        <f t="shared" si="3"/>
        <v>0</v>
      </c>
      <c r="P48" s="404">
        <f t="shared" si="4"/>
        <v>0</v>
      </c>
      <c r="Q48" s="405">
        <f t="shared" si="5"/>
        <v>0</v>
      </c>
      <c r="R48" s="111"/>
      <c r="S48" s="321">
        <f>IF($F48="j",$D48/Allgemeines!$B$30*W$25,R48)*$K48</f>
        <v>0</v>
      </c>
      <c r="T48" s="406">
        <f t="shared" si="6"/>
        <v>0</v>
      </c>
      <c r="U48" s="399">
        <f t="shared" si="7"/>
        <v>0</v>
      </c>
      <c r="V48" s="405">
        <f t="shared" si="8"/>
        <v>0</v>
      </c>
      <c r="W48" s="558"/>
      <c r="X48" s="662">
        <f t="shared" si="9"/>
        <v>0</v>
      </c>
      <c r="Y48" s="663">
        <f t="shared" si="10"/>
        <v>0</v>
      </c>
      <c r="Z48" s="402">
        <f t="shared" si="11"/>
        <v>0</v>
      </c>
      <c r="AA48" s="408">
        <f t="shared" si="12"/>
        <v>0</v>
      </c>
      <c r="AB48" s="409">
        <f t="shared" si="17"/>
        <v>0</v>
      </c>
      <c r="AC48" s="402">
        <f t="shared" si="13"/>
        <v>0</v>
      </c>
      <c r="AD48" s="405">
        <f t="shared" si="14"/>
        <v>0</v>
      </c>
      <c r="AE48" s="412">
        <f t="shared" si="18"/>
        <v>0</v>
      </c>
    </row>
    <row r="49" spans="1:31" x14ac:dyDescent="0.25">
      <c r="A49" s="151"/>
      <c r="B49" s="1"/>
      <c r="C49" s="1"/>
      <c r="D49" s="2"/>
      <c r="E49" s="398">
        <f t="shared" si="15"/>
        <v>0</v>
      </c>
      <c r="F49" s="5"/>
      <c r="G49" s="111"/>
      <c r="H49" s="321">
        <f>IF(F49="j",D49/Allgemeines!$B$30*$C$29,G49)</f>
        <v>0</v>
      </c>
      <c r="I49" s="411">
        <f t="shared" si="16"/>
        <v>0</v>
      </c>
      <c r="J49" s="140">
        <f>IF(AND(F49&lt;&gt;"",B49="Rückspeisung eN",Allgemeines!$B$29&lt;=2028),$J$21,0)
+IF(AND(F49&lt;&gt;"",OR(B49="EEG-nvol",B49="KWKG",B49="Sonstige-nvol"),AND(OR(C49="&lt;= 2022",C49&lt;=2022),Allgemeines!$B$29&lt;=2025)),1,0)
+IF(AND(F49&lt;&gt;"",OR(B49="EEG-nvol",B49="KWKG",B49="Sonstige-nvol"),AND(OR(C49="&lt;= 2022",C49&lt;=2022),Allgemeines!$B$29&gt;=2026)),1-(Allgemeines!$B$29-2025)/4,0)
+IF(AND(F49&lt;&gt;"",OR(B49="EEG-vol",B49="Sonstige-vol"),OR(C49="&lt;= 2017",C49&lt;=2017),C49&gt;1900),MIN(1,MAX(0,1-(Allgemeines!$B$29-2017)/3)),0)</f>
        <v>0</v>
      </c>
      <c r="K49" s="140">
        <f t="shared" si="0"/>
        <v>0</v>
      </c>
      <c r="L49" s="138"/>
      <c r="M49" s="413" t="str">
        <f t="shared" si="1"/>
        <v/>
      </c>
      <c r="N49" s="402">
        <f t="shared" si="2"/>
        <v>0</v>
      </c>
      <c r="O49" s="403">
        <f t="shared" si="3"/>
        <v>0</v>
      </c>
      <c r="P49" s="404">
        <f t="shared" si="4"/>
        <v>0</v>
      </c>
      <c r="Q49" s="405">
        <f t="shared" si="5"/>
        <v>0</v>
      </c>
      <c r="R49" s="111"/>
      <c r="S49" s="321">
        <f>IF($F49="j",$D49/Allgemeines!$B$30*W$25,R49)*$K49</f>
        <v>0</v>
      </c>
      <c r="T49" s="406">
        <f t="shared" si="6"/>
        <v>0</v>
      </c>
      <c r="U49" s="399">
        <f t="shared" si="7"/>
        <v>0</v>
      </c>
      <c r="V49" s="405">
        <f t="shared" si="8"/>
        <v>0</v>
      </c>
      <c r="W49" s="558"/>
      <c r="X49" s="662">
        <f t="shared" si="9"/>
        <v>0</v>
      </c>
      <c r="Y49" s="663">
        <f t="shared" si="10"/>
        <v>0</v>
      </c>
      <c r="Z49" s="402">
        <f t="shared" si="11"/>
        <v>0</v>
      </c>
      <c r="AA49" s="408">
        <f t="shared" si="12"/>
        <v>0</v>
      </c>
      <c r="AB49" s="409">
        <f t="shared" si="17"/>
        <v>0</v>
      </c>
      <c r="AC49" s="402">
        <f t="shared" si="13"/>
        <v>0</v>
      </c>
      <c r="AD49" s="405">
        <f t="shared" si="14"/>
        <v>0</v>
      </c>
      <c r="AE49" s="412">
        <f t="shared" si="18"/>
        <v>0</v>
      </c>
    </row>
    <row r="50" spans="1:31" ht="15.75" thickBot="1" x14ac:dyDescent="0.3">
      <c r="A50" s="176"/>
      <c r="B50" s="66"/>
      <c r="C50" s="66"/>
      <c r="D50" s="66"/>
      <c r="E50" s="414"/>
      <c r="F50" s="72"/>
      <c r="G50" s="321"/>
      <c r="H50" s="321"/>
      <c r="I50" s="415"/>
      <c r="J50" s="415"/>
      <c r="K50" s="415"/>
      <c r="L50" s="415"/>
      <c r="M50" s="416"/>
      <c r="N50" s="70"/>
      <c r="O50" s="417"/>
      <c r="P50" s="417"/>
      <c r="Q50" s="417"/>
      <c r="R50" s="417"/>
      <c r="S50" s="417"/>
      <c r="T50" s="417"/>
      <c r="U50" s="417"/>
      <c r="V50" s="417"/>
      <c r="W50" s="417"/>
      <c r="X50" s="417"/>
      <c r="Y50" s="417"/>
      <c r="Z50" s="417"/>
      <c r="AA50" s="417"/>
      <c r="AB50" s="417"/>
      <c r="AC50" s="417"/>
      <c r="AD50" s="417"/>
    </row>
    <row r="51" spans="1:31" ht="15.75" thickBot="1" x14ac:dyDescent="0.3">
      <c r="A51" s="418" t="s">
        <v>377</v>
      </c>
      <c r="B51" s="419"/>
      <c r="C51" s="419"/>
      <c r="D51" s="419"/>
      <c r="E51" s="419"/>
      <c r="F51" s="419"/>
      <c r="G51" s="420"/>
      <c r="H51" s="420"/>
      <c r="I51" s="420"/>
      <c r="J51" s="420"/>
      <c r="K51" s="420"/>
      <c r="L51" s="420"/>
      <c r="M51" s="421"/>
      <c r="N51" s="419"/>
      <c r="O51" s="419"/>
      <c r="P51" s="419"/>
      <c r="Q51" s="419"/>
      <c r="R51" s="419"/>
      <c r="S51" s="420"/>
      <c r="T51" s="419"/>
      <c r="U51" s="420"/>
      <c r="V51" s="419"/>
      <c r="W51" s="419"/>
      <c r="X51" s="419"/>
      <c r="Y51" s="419"/>
      <c r="Z51" s="419"/>
      <c r="AA51" s="419"/>
      <c r="AB51" s="419"/>
      <c r="AC51" s="419"/>
      <c r="AD51" s="419"/>
      <c r="AE51" s="422"/>
    </row>
    <row r="52" spans="1:31" s="69" customFormat="1" ht="15" hidden="1" customHeight="1" thickBot="1" x14ac:dyDescent="0.3">
      <c r="A52" s="423" t="s">
        <v>261</v>
      </c>
      <c r="B52" s="372" t="s">
        <v>262</v>
      </c>
      <c r="C52" s="372" t="s">
        <v>263</v>
      </c>
      <c r="D52" s="372" t="s">
        <v>264</v>
      </c>
      <c r="E52" s="373" t="s">
        <v>265</v>
      </c>
      <c r="F52" s="374" t="s">
        <v>266</v>
      </c>
      <c r="G52" s="372" t="s">
        <v>409</v>
      </c>
      <c r="H52" s="375" t="s">
        <v>410</v>
      </c>
      <c r="I52" s="424" t="s">
        <v>267</v>
      </c>
      <c r="J52" s="425" t="s">
        <v>268</v>
      </c>
      <c r="K52" s="425" t="s">
        <v>269</v>
      </c>
      <c r="L52" s="425" t="s">
        <v>270</v>
      </c>
      <c r="M52" s="425" t="s">
        <v>271</v>
      </c>
      <c r="N52" s="379" t="s">
        <v>272</v>
      </c>
      <c r="O52" s="380" t="s">
        <v>273</v>
      </c>
      <c r="P52" s="381" t="s">
        <v>274</v>
      </c>
      <c r="Q52" s="382" t="s">
        <v>275</v>
      </c>
      <c r="R52" s="372" t="s">
        <v>276</v>
      </c>
      <c r="S52" s="372" t="s">
        <v>277</v>
      </c>
      <c r="T52" s="383" t="s">
        <v>278</v>
      </c>
      <c r="U52" s="155" t="s">
        <v>319</v>
      </c>
      <c r="V52" s="382" t="s">
        <v>320</v>
      </c>
      <c r="W52" s="379" t="s">
        <v>438</v>
      </c>
      <c r="X52" s="379" t="s">
        <v>327</v>
      </c>
      <c r="Y52" s="380" t="s">
        <v>339</v>
      </c>
      <c r="Z52" s="379" t="s">
        <v>340</v>
      </c>
      <c r="AA52" s="379" t="s">
        <v>341</v>
      </c>
      <c r="AB52" s="384" t="s">
        <v>342</v>
      </c>
      <c r="AC52" s="379" t="s">
        <v>343</v>
      </c>
      <c r="AD52" s="382" t="s">
        <v>344</v>
      </c>
      <c r="AE52" s="380" t="s">
        <v>345</v>
      </c>
    </row>
    <row r="53" spans="1:31" x14ac:dyDescent="0.25">
      <c r="A53" s="152"/>
      <c r="B53" s="1"/>
      <c r="C53" s="546"/>
      <c r="D53" s="2"/>
      <c r="E53" s="398">
        <f t="shared" ref="E53:E64" si="19">D53*$C$14</f>
        <v>0</v>
      </c>
      <c r="F53" s="426" t="str">
        <f t="shared" ref="F53:F64" si="20">"j"</f>
        <v>j</v>
      </c>
      <c r="G53" s="427"/>
      <c r="H53" s="321">
        <f>IF(F53="j",D53/Allgemeines!$B$30*$C$30,G53)</f>
        <v>0</v>
      </c>
      <c r="I53" s="411">
        <f t="shared" ref="I53:I64" si="21">H53*$C$31</f>
        <v>0</v>
      </c>
      <c r="J53" s="139">
        <f>IF(AND(F53&lt;&gt;"",B53="Rückspeisung eN",Allgemeines!$B$29&lt;=2028),$J$21,0)
+IF(AND(F53&lt;&gt;"",OR(B53="EEG-nvol",B53="KWKG",B53="Sonstige-nvol"),AND(OR(C53="&lt;= 2022",C53&lt;=2022),Allgemeines!$B$29&lt;=2025)),1,0)
+IF(AND(F53&lt;&gt;"",OR(B53="EEG-nvol",B53="KWKG",B53="Sonstige-nvol"),AND(OR(C53="&lt;= 2022",C53&lt;=2022),Allgemeines!$B$29&gt;=2026)),MIN(1,MAX(0,1-(Allgemeines!$B$29-2025)/4)),0)
+IF(AND(F53&lt;&gt;"",OR(B53="EEG-vol",B53="Sonstige-vol"),OR(C53="&lt;= 2017",C53&lt;=2017),C53&gt;1900),MIN(1,MAX(0,1-(Allgemeines!$B$29-2017)/3)),0)</f>
        <v>0</v>
      </c>
      <c r="K53" s="139">
        <f t="shared" ref="K53:K64" si="22">IF(B53="Rückspeisung eN",$K$21,J53)</f>
        <v>0</v>
      </c>
      <c r="L53" s="156"/>
      <c r="M53" s="413" t="str">
        <f t="shared" ref="M53:M64" si="23">IF(MAX($AE53,$AB53)&gt;0,
IF($AE53&lt;$AB53,"R","A"),"")</f>
        <v/>
      </c>
      <c r="N53" s="407">
        <f t="shared" ref="N53:N64" si="24">IF($AE53&lt;$AB53,AC53,Z53)</f>
        <v>0</v>
      </c>
      <c r="O53" s="428"/>
      <c r="P53" s="404">
        <f t="shared" ref="P53:P64" si="25">D53*J53</f>
        <v>0</v>
      </c>
      <c r="Q53" s="405">
        <f t="shared" ref="Q53:Q64" si="26">IF($P$69&gt;0,$V$15*P53/$P$69,0)</f>
        <v>0</v>
      </c>
      <c r="R53" s="429"/>
      <c r="S53" s="399">
        <f>IF($F53="j",$D53/Allgemeines!$B$30*W$26,R53)*$K53</f>
        <v>0</v>
      </c>
      <c r="T53" s="406">
        <f t="shared" ref="T53:T64" si="27">H53*K53</f>
        <v>0</v>
      </c>
      <c r="U53" s="399">
        <f t="shared" ref="U53:U64" si="28">CHOOSE(RIGHT(U$35,1),P53,S53,T53)</f>
        <v>0</v>
      </c>
      <c r="V53" s="430"/>
      <c r="W53" s="558"/>
      <c r="X53" s="664">
        <f t="shared" ref="X53:X64" si="29">N53+Q53</f>
        <v>0</v>
      </c>
      <c r="Y53" s="673"/>
      <c r="Z53" s="407">
        <f t="shared" ref="Z53:Z64" si="30">IF(L53&lt;&gt;0,E53*M$27/100*$J53,0)</f>
        <v>0</v>
      </c>
      <c r="AA53" s="431"/>
      <c r="AB53" s="432">
        <f t="shared" ref="AB53:AB64" si="31">Z53+AA53</f>
        <v>0</v>
      </c>
      <c r="AC53" s="407">
        <f t="shared" ref="AC53:AC64" si="32">IF(L53&lt;&gt;"",E53*IFERROR(VLOOKUP(L53,$L$28:$N$32,2,FALSE),0)/100*$J53,0)</f>
        <v>0</v>
      </c>
      <c r="AD53" s="431"/>
      <c r="AE53" s="433">
        <f t="shared" ref="AE53:AE64" si="33">AC53+AD53</f>
        <v>0</v>
      </c>
    </row>
    <row r="54" spans="1:31" x14ac:dyDescent="0.25">
      <c r="A54" s="152"/>
      <c r="B54" s="1"/>
      <c r="C54" s="546"/>
      <c r="D54" s="2"/>
      <c r="E54" s="398">
        <f t="shared" si="19"/>
        <v>0</v>
      </c>
      <c r="F54" s="426" t="str">
        <f t="shared" si="20"/>
        <v>j</v>
      </c>
      <c r="G54" s="427"/>
      <c r="H54" s="321">
        <f>IF(F54="j",D54/Allgemeines!$B$30*$C$30,G54)</f>
        <v>0</v>
      </c>
      <c r="I54" s="411">
        <f t="shared" si="21"/>
        <v>0</v>
      </c>
      <c r="J54" s="139">
        <f>IF(AND(F54&lt;&gt;"",B54="Rückspeisung eN",Allgemeines!$B$29&lt;=2028),$J$21,0)
+IF(AND(F54&lt;&gt;"",OR(B54="EEG-nvol",B54="KWKG",B54="Sonstige-nvol"),AND(OR(C54="&lt;= 2022",C54&lt;=2022),Allgemeines!$B$29&lt;=2025)),1,0)
+IF(AND(F54&lt;&gt;"",OR(B54="EEG-nvol",B54="KWKG",B54="Sonstige-nvol"),AND(OR(C54="&lt;= 2022",C54&lt;=2022),Allgemeines!$B$29&gt;=2026)),MIN(1,MAX(0,1-(Allgemeines!$B$29-2025)/4)),0)
+IF(AND(F54&lt;&gt;"",OR(B54="EEG-vol",B54="Sonstige-vol"),OR(C54="&lt;= 2017",C54&lt;=2017),C54&gt;1900),MIN(1,MAX(0,1-(Allgemeines!$B$29-2017)/3)),0)</f>
        <v>0</v>
      </c>
      <c r="K54" s="140">
        <f t="shared" si="22"/>
        <v>0</v>
      </c>
      <c r="L54" s="156"/>
      <c r="M54" s="413" t="str">
        <f t="shared" si="23"/>
        <v/>
      </c>
      <c r="N54" s="407">
        <f t="shared" si="24"/>
        <v>0</v>
      </c>
      <c r="O54" s="428"/>
      <c r="P54" s="404">
        <f t="shared" si="25"/>
        <v>0</v>
      </c>
      <c r="Q54" s="405">
        <f t="shared" si="26"/>
        <v>0</v>
      </c>
      <c r="R54" s="429"/>
      <c r="S54" s="399">
        <f>IF($F54="j",$D54/Allgemeines!$B$30*W$26,R54)*$K54</f>
        <v>0</v>
      </c>
      <c r="T54" s="406">
        <f t="shared" si="27"/>
        <v>0</v>
      </c>
      <c r="U54" s="399">
        <f t="shared" si="28"/>
        <v>0</v>
      </c>
      <c r="V54" s="430"/>
      <c r="W54" s="558"/>
      <c r="X54" s="664">
        <f t="shared" si="29"/>
        <v>0</v>
      </c>
      <c r="Y54" s="673"/>
      <c r="Z54" s="407">
        <f t="shared" si="30"/>
        <v>0</v>
      </c>
      <c r="AA54" s="431"/>
      <c r="AB54" s="432">
        <f t="shared" si="31"/>
        <v>0</v>
      </c>
      <c r="AC54" s="407">
        <f t="shared" si="32"/>
        <v>0</v>
      </c>
      <c r="AD54" s="431"/>
      <c r="AE54" s="433">
        <f t="shared" si="33"/>
        <v>0</v>
      </c>
    </row>
    <row r="55" spans="1:31" x14ac:dyDescent="0.25">
      <c r="A55" s="152"/>
      <c r="B55" s="1"/>
      <c r="C55" s="546"/>
      <c r="D55" s="2"/>
      <c r="E55" s="398">
        <f t="shared" si="19"/>
        <v>0</v>
      </c>
      <c r="F55" s="426" t="str">
        <f t="shared" si="20"/>
        <v>j</v>
      </c>
      <c r="G55" s="427"/>
      <c r="H55" s="321">
        <f>IF(F55="j",D55/Allgemeines!$B$30*$C$30,G55)</f>
        <v>0</v>
      </c>
      <c r="I55" s="411">
        <f t="shared" si="21"/>
        <v>0</v>
      </c>
      <c r="J55" s="139">
        <f>IF(AND(F55&lt;&gt;"",B55="Rückspeisung eN",Allgemeines!$B$29&lt;=2028),$J$21,0)
+IF(AND(F55&lt;&gt;"",OR(B55="EEG-nvol",B55="KWKG",B55="Sonstige-nvol"),AND(OR(C55="&lt;= 2022",C55&lt;=2022),Allgemeines!$B$29&lt;=2025)),1,0)
+IF(AND(F55&lt;&gt;"",OR(B55="EEG-nvol",B55="KWKG",B55="Sonstige-nvol"),AND(OR(C55="&lt;= 2022",C55&lt;=2022),Allgemeines!$B$29&gt;=2026)),MIN(1,MAX(0,1-(Allgemeines!$B$29-2025)/4)),0)
+IF(AND(F55&lt;&gt;"",OR(B55="EEG-vol",B55="Sonstige-vol"),OR(C55="&lt;= 2017",C55&lt;=2017),C55&gt;1900),MIN(1,MAX(0,1-(Allgemeines!$B$29-2017)/3)),0)</f>
        <v>0</v>
      </c>
      <c r="K55" s="140">
        <f t="shared" si="22"/>
        <v>0</v>
      </c>
      <c r="L55" s="156"/>
      <c r="M55" s="413" t="str">
        <f t="shared" si="23"/>
        <v/>
      </c>
      <c r="N55" s="407">
        <f t="shared" si="24"/>
        <v>0</v>
      </c>
      <c r="O55" s="428"/>
      <c r="P55" s="404">
        <f t="shared" si="25"/>
        <v>0</v>
      </c>
      <c r="Q55" s="405">
        <f t="shared" si="26"/>
        <v>0</v>
      </c>
      <c r="R55" s="429"/>
      <c r="S55" s="399">
        <f>IF($F55="j",$D55/Allgemeines!$B$30*W$26,R55)*$K55</f>
        <v>0</v>
      </c>
      <c r="T55" s="406">
        <f t="shared" si="27"/>
        <v>0</v>
      </c>
      <c r="U55" s="399">
        <f t="shared" si="28"/>
        <v>0</v>
      </c>
      <c r="V55" s="430"/>
      <c r="W55" s="558"/>
      <c r="X55" s="664">
        <f t="shared" si="29"/>
        <v>0</v>
      </c>
      <c r="Y55" s="673"/>
      <c r="Z55" s="407">
        <f t="shared" si="30"/>
        <v>0</v>
      </c>
      <c r="AA55" s="431"/>
      <c r="AB55" s="432">
        <f t="shared" si="31"/>
        <v>0</v>
      </c>
      <c r="AC55" s="407">
        <f t="shared" si="32"/>
        <v>0</v>
      </c>
      <c r="AD55" s="431"/>
      <c r="AE55" s="433">
        <f t="shared" si="33"/>
        <v>0</v>
      </c>
    </row>
    <row r="56" spans="1:31" x14ac:dyDescent="0.25">
      <c r="A56" s="152"/>
      <c r="B56" s="1"/>
      <c r="C56" s="546"/>
      <c r="D56" s="2"/>
      <c r="E56" s="398">
        <f t="shared" si="19"/>
        <v>0</v>
      </c>
      <c r="F56" s="426" t="str">
        <f t="shared" si="20"/>
        <v>j</v>
      </c>
      <c r="G56" s="427"/>
      <c r="H56" s="321">
        <f>IF(F56="j",D56/Allgemeines!$B$30*$C$30,G56)</f>
        <v>0</v>
      </c>
      <c r="I56" s="411">
        <f t="shared" si="21"/>
        <v>0</v>
      </c>
      <c r="J56" s="139">
        <f>IF(AND(F56&lt;&gt;"",B56="Rückspeisung eN",Allgemeines!$B$29&lt;=2028),$J$21,0)
+IF(AND(F56&lt;&gt;"",OR(B56="EEG-nvol",B56="KWKG",B56="Sonstige-nvol"),AND(OR(C56="&lt;= 2022",C56&lt;=2022),Allgemeines!$B$29&lt;=2025)),1,0)
+IF(AND(F56&lt;&gt;"",OR(B56="EEG-nvol",B56="KWKG",B56="Sonstige-nvol"),AND(OR(C56="&lt;= 2022",C56&lt;=2022),Allgemeines!$B$29&gt;=2026)),MIN(1,MAX(0,1-(Allgemeines!$B$29-2025)/4)),0)
+IF(AND(F56&lt;&gt;"",OR(B56="EEG-vol",B56="Sonstige-vol"),OR(C56="&lt;= 2017",C56&lt;=2017),C56&gt;1900),MIN(1,MAX(0,1-(Allgemeines!$B$29-2017)/3)),0)</f>
        <v>0</v>
      </c>
      <c r="K56" s="140">
        <f t="shared" si="22"/>
        <v>0</v>
      </c>
      <c r="L56" s="156"/>
      <c r="M56" s="413" t="str">
        <f t="shared" si="23"/>
        <v/>
      </c>
      <c r="N56" s="407">
        <f t="shared" si="24"/>
        <v>0</v>
      </c>
      <c r="O56" s="428"/>
      <c r="P56" s="404">
        <f t="shared" si="25"/>
        <v>0</v>
      </c>
      <c r="Q56" s="405">
        <f t="shared" si="26"/>
        <v>0</v>
      </c>
      <c r="R56" s="429"/>
      <c r="S56" s="399">
        <f>IF($F56="j",$D56/Allgemeines!$B$30*W$26,R56)*$K56</f>
        <v>0</v>
      </c>
      <c r="T56" s="406">
        <f t="shared" si="27"/>
        <v>0</v>
      </c>
      <c r="U56" s="399">
        <f t="shared" si="28"/>
        <v>0</v>
      </c>
      <c r="V56" s="430"/>
      <c r="W56" s="558"/>
      <c r="X56" s="664">
        <f t="shared" si="29"/>
        <v>0</v>
      </c>
      <c r="Y56" s="673"/>
      <c r="Z56" s="407">
        <f t="shared" si="30"/>
        <v>0</v>
      </c>
      <c r="AA56" s="431"/>
      <c r="AB56" s="432">
        <f t="shared" si="31"/>
        <v>0</v>
      </c>
      <c r="AC56" s="407">
        <f t="shared" si="32"/>
        <v>0</v>
      </c>
      <c r="AD56" s="431"/>
      <c r="AE56" s="433">
        <f t="shared" si="33"/>
        <v>0</v>
      </c>
    </row>
    <row r="57" spans="1:31" x14ac:dyDescent="0.25">
      <c r="A57" s="152"/>
      <c r="B57" s="1"/>
      <c r="C57" s="546"/>
      <c r="D57" s="2"/>
      <c r="E57" s="398">
        <f t="shared" si="19"/>
        <v>0</v>
      </c>
      <c r="F57" s="426" t="str">
        <f t="shared" si="20"/>
        <v>j</v>
      </c>
      <c r="G57" s="427"/>
      <c r="H57" s="321">
        <f>IF(F57="j",D57/Allgemeines!$B$30*$C$30,G57)</f>
        <v>0</v>
      </c>
      <c r="I57" s="411">
        <f t="shared" si="21"/>
        <v>0</v>
      </c>
      <c r="J57" s="139">
        <f>IF(AND(F57&lt;&gt;"",B57="Rückspeisung eN",Allgemeines!$B$29&lt;=2028),$J$21,0)
+IF(AND(F57&lt;&gt;"",OR(B57="EEG-nvol",B57="KWKG",B57="Sonstige-nvol"),AND(OR(C57="&lt;= 2022",C57&lt;=2022),Allgemeines!$B$29&lt;=2025)),1,0)
+IF(AND(F57&lt;&gt;"",OR(B57="EEG-nvol",B57="KWKG",B57="Sonstige-nvol"),AND(OR(C57="&lt;= 2022",C57&lt;=2022),Allgemeines!$B$29&gt;=2026)),MIN(1,MAX(0,1-(Allgemeines!$B$29-2025)/4)),0)
+IF(AND(F57&lt;&gt;"",OR(B57="EEG-vol",B57="Sonstige-vol"),OR(C57="&lt;= 2017",C57&lt;=2017),C57&gt;1900),MIN(1,MAX(0,1-(Allgemeines!$B$29-2017)/3)),0)</f>
        <v>0</v>
      </c>
      <c r="K57" s="140">
        <f t="shared" si="22"/>
        <v>0</v>
      </c>
      <c r="L57" s="156"/>
      <c r="M57" s="413" t="str">
        <f t="shared" si="23"/>
        <v/>
      </c>
      <c r="N57" s="407">
        <f t="shared" si="24"/>
        <v>0</v>
      </c>
      <c r="O57" s="428"/>
      <c r="P57" s="404">
        <f t="shared" si="25"/>
        <v>0</v>
      </c>
      <c r="Q57" s="405">
        <f t="shared" si="26"/>
        <v>0</v>
      </c>
      <c r="R57" s="429"/>
      <c r="S57" s="399">
        <f>IF($F57="j",$D57/Allgemeines!$B$30*W$26,R57)*$K57</f>
        <v>0</v>
      </c>
      <c r="T57" s="406">
        <f t="shared" si="27"/>
        <v>0</v>
      </c>
      <c r="U57" s="399">
        <f t="shared" si="28"/>
        <v>0</v>
      </c>
      <c r="V57" s="430"/>
      <c r="W57" s="558"/>
      <c r="X57" s="664">
        <f t="shared" si="29"/>
        <v>0</v>
      </c>
      <c r="Y57" s="673"/>
      <c r="Z57" s="407">
        <f t="shared" si="30"/>
        <v>0</v>
      </c>
      <c r="AA57" s="431"/>
      <c r="AB57" s="432">
        <f t="shared" si="31"/>
        <v>0</v>
      </c>
      <c r="AC57" s="407">
        <f t="shared" si="32"/>
        <v>0</v>
      </c>
      <c r="AD57" s="431"/>
      <c r="AE57" s="433">
        <f t="shared" si="33"/>
        <v>0</v>
      </c>
    </row>
    <row r="58" spans="1:31" x14ac:dyDescent="0.25">
      <c r="A58" s="152"/>
      <c r="B58" s="1"/>
      <c r="C58" s="546"/>
      <c r="D58" s="2"/>
      <c r="E58" s="398">
        <f t="shared" si="19"/>
        <v>0</v>
      </c>
      <c r="F58" s="426" t="str">
        <f t="shared" si="20"/>
        <v>j</v>
      </c>
      <c r="G58" s="427"/>
      <c r="H58" s="321">
        <f>IF(F58="j",D58/Allgemeines!$B$30*$C$30,G58)</f>
        <v>0</v>
      </c>
      <c r="I58" s="411">
        <f t="shared" si="21"/>
        <v>0</v>
      </c>
      <c r="J58" s="139">
        <f>IF(AND(F58&lt;&gt;"",B58="Rückspeisung eN",Allgemeines!$B$29&lt;=2028),$J$21,0)
+IF(AND(F58&lt;&gt;"",OR(B58="EEG-nvol",B58="KWKG",B58="Sonstige-nvol"),AND(OR(C58="&lt;= 2022",C58&lt;=2022),Allgemeines!$B$29&lt;=2025)),1,0)
+IF(AND(F58&lt;&gt;"",OR(B58="EEG-nvol",B58="KWKG",B58="Sonstige-nvol"),AND(OR(C58="&lt;= 2022",C58&lt;=2022),Allgemeines!$B$29&gt;=2026)),MIN(1,MAX(0,1-(Allgemeines!$B$29-2025)/4)),0)
+IF(AND(F58&lt;&gt;"",OR(B58="EEG-vol",B58="Sonstige-vol"),OR(C58="&lt;= 2017",C58&lt;=2017),C58&gt;1900),MIN(1,MAX(0,1-(Allgemeines!$B$29-2017)/3)),0)</f>
        <v>0</v>
      </c>
      <c r="K58" s="140">
        <f t="shared" si="22"/>
        <v>0</v>
      </c>
      <c r="L58" s="156"/>
      <c r="M58" s="413" t="str">
        <f t="shared" si="23"/>
        <v/>
      </c>
      <c r="N58" s="407">
        <f t="shared" si="24"/>
        <v>0</v>
      </c>
      <c r="O58" s="428"/>
      <c r="P58" s="404">
        <f t="shared" si="25"/>
        <v>0</v>
      </c>
      <c r="Q58" s="405">
        <f t="shared" si="26"/>
        <v>0</v>
      </c>
      <c r="R58" s="429"/>
      <c r="S58" s="399">
        <f>IF($F58="j",$D58/Allgemeines!$B$30*W$26,R58)*$K58</f>
        <v>0</v>
      </c>
      <c r="T58" s="406">
        <f t="shared" si="27"/>
        <v>0</v>
      </c>
      <c r="U58" s="399">
        <f t="shared" si="28"/>
        <v>0</v>
      </c>
      <c r="V58" s="430"/>
      <c r="W58" s="558"/>
      <c r="X58" s="664">
        <f t="shared" si="29"/>
        <v>0</v>
      </c>
      <c r="Y58" s="673"/>
      <c r="Z58" s="407">
        <f t="shared" si="30"/>
        <v>0</v>
      </c>
      <c r="AA58" s="431"/>
      <c r="AB58" s="432">
        <f t="shared" si="31"/>
        <v>0</v>
      </c>
      <c r="AC58" s="407">
        <f t="shared" si="32"/>
        <v>0</v>
      </c>
      <c r="AD58" s="431"/>
      <c r="AE58" s="433">
        <f t="shared" si="33"/>
        <v>0</v>
      </c>
    </row>
    <row r="59" spans="1:31" x14ac:dyDescent="0.25">
      <c r="A59" s="152"/>
      <c r="B59" s="1"/>
      <c r="C59" s="546"/>
      <c r="D59" s="2"/>
      <c r="E59" s="398">
        <f t="shared" si="19"/>
        <v>0</v>
      </c>
      <c r="F59" s="426" t="str">
        <f t="shared" si="20"/>
        <v>j</v>
      </c>
      <c r="G59" s="427"/>
      <c r="H59" s="321">
        <f>IF(F59="j",D59/Allgemeines!$B$30*$C$30,G59)</f>
        <v>0</v>
      </c>
      <c r="I59" s="411">
        <f t="shared" si="21"/>
        <v>0</v>
      </c>
      <c r="J59" s="139">
        <f>IF(AND(F59&lt;&gt;"",B59="Rückspeisung eN",Allgemeines!$B$29&lt;=2028),$J$21,0)
+IF(AND(F59&lt;&gt;"",OR(B59="EEG-nvol",B59="KWKG",B59="Sonstige-nvol"),AND(OR(C59="&lt;= 2022",C59&lt;=2022),Allgemeines!$B$29&lt;=2025)),1,0)
+IF(AND(F59&lt;&gt;"",OR(B59="EEG-nvol",B59="KWKG",B59="Sonstige-nvol"),AND(OR(C59="&lt;= 2022",C59&lt;=2022),Allgemeines!$B$29&gt;=2026)),MIN(1,MAX(0,1-(Allgemeines!$B$29-2025)/4)),0)
+IF(AND(F59&lt;&gt;"",OR(B59="EEG-vol",B59="Sonstige-vol"),OR(C59="&lt;= 2017",C59&lt;=2017),C59&gt;1900),MIN(1,MAX(0,1-(Allgemeines!$B$29-2017)/3)),0)</f>
        <v>0</v>
      </c>
      <c r="K59" s="140">
        <f t="shared" si="22"/>
        <v>0</v>
      </c>
      <c r="L59" s="156"/>
      <c r="M59" s="413" t="str">
        <f t="shared" si="23"/>
        <v/>
      </c>
      <c r="N59" s="407">
        <f t="shared" si="24"/>
        <v>0</v>
      </c>
      <c r="O59" s="428"/>
      <c r="P59" s="404">
        <f t="shared" si="25"/>
        <v>0</v>
      </c>
      <c r="Q59" s="405">
        <f t="shared" si="26"/>
        <v>0</v>
      </c>
      <c r="R59" s="429"/>
      <c r="S59" s="399">
        <f>IF($F59="j",$D59/Allgemeines!$B$30*W$26,R59)*$K59</f>
        <v>0</v>
      </c>
      <c r="T59" s="406">
        <f t="shared" si="27"/>
        <v>0</v>
      </c>
      <c r="U59" s="399">
        <f t="shared" si="28"/>
        <v>0</v>
      </c>
      <c r="V59" s="430"/>
      <c r="W59" s="558"/>
      <c r="X59" s="664">
        <f t="shared" si="29"/>
        <v>0</v>
      </c>
      <c r="Y59" s="673"/>
      <c r="Z59" s="407">
        <f t="shared" si="30"/>
        <v>0</v>
      </c>
      <c r="AA59" s="431"/>
      <c r="AB59" s="432">
        <f t="shared" si="31"/>
        <v>0</v>
      </c>
      <c r="AC59" s="407">
        <f t="shared" si="32"/>
        <v>0</v>
      </c>
      <c r="AD59" s="431"/>
      <c r="AE59" s="433">
        <f t="shared" si="33"/>
        <v>0</v>
      </c>
    </row>
    <row r="60" spans="1:31" x14ac:dyDescent="0.25">
      <c r="A60" s="152"/>
      <c r="B60" s="1"/>
      <c r="C60" s="546"/>
      <c r="D60" s="2"/>
      <c r="E60" s="398">
        <f t="shared" si="19"/>
        <v>0</v>
      </c>
      <c r="F60" s="426" t="str">
        <f t="shared" si="20"/>
        <v>j</v>
      </c>
      <c r="G60" s="427"/>
      <c r="H60" s="321">
        <f>IF(F60="j",D60/Allgemeines!$B$30*$C$30,G60)</f>
        <v>0</v>
      </c>
      <c r="I60" s="411">
        <f t="shared" si="21"/>
        <v>0</v>
      </c>
      <c r="J60" s="139">
        <f>IF(AND(F60&lt;&gt;"",B60="Rückspeisung eN",Allgemeines!$B$29&lt;=2028),$J$21,0)
+IF(AND(F60&lt;&gt;"",OR(B60="EEG-nvol",B60="KWKG",B60="Sonstige-nvol"),AND(OR(C60="&lt;= 2022",C60&lt;=2022),Allgemeines!$B$29&lt;=2025)),1,0)
+IF(AND(F60&lt;&gt;"",OR(B60="EEG-nvol",B60="KWKG",B60="Sonstige-nvol"),AND(OR(C60="&lt;= 2022",C60&lt;=2022),Allgemeines!$B$29&gt;=2026)),MIN(1,MAX(0,1-(Allgemeines!$B$29-2025)/4)),0)
+IF(AND(F60&lt;&gt;"",OR(B60="EEG-vol",B60="Sonstige-vol"),OR(C60="&lt;= 2017",C60&lt;=2017),C60&gt;1900),MIN(1,MAX(0,1-(Allgemeines!$B$29-2017)/3)),0)</f>
        <v>0</v>
      </c>
      <c r="K60" s="140">
        <f t="shared" si="22"/>
        <v>0</v>
      </c>
      <c r="L60" s="156"/>
      <c r="M60" s="413" t="str">
        <f t="shared" si="23"/>
        <v/>
      </c>
      <c r="N60" s="407">
        <f t="shared" si="24"/>
        <v>0</v>
      </c>
      <c r="O60" s="428"/>
      <c r="P60" s="404">
        <f t="shared" si="25"/>
        <v>0</v>
      </c>
      <c r="Q60" s="405">
        <f t="shared" si="26"/>
        <v>0</v>
      </c>
      <c r="R60" s="429"/>
      <c r="S60" s="399">
        <f>IF($F60="j",$D60/Allgemeines!$B$30*W$26,R60)*$K60</f>
        <v>0</v>
      </c>
      <c r="T60" s="406">
        <f t="shared" si="27"/>
        <v>0</v>
      </c>
      <c r="U60" s="399">
        <f t="shared" si="28"/>
        <v>0</v>
      </c>
      <c r="V60" s="430"/>
      <c r="W60" s="558"/>
      <c r="X60" s="664">
        <f t="shared" si="29"/>
        <v>0</v>
      </c>
      <c r="Y60" s="673"/>
      <c r="Z60" s="407">
        <f t="shared" si="30"/>
        <v>0</v>
      </c>
      <c r="AA60" s="431"/>
      <c r="AB60" s="432">
        <f t="shared" si="31"/>
        <v>0</v>
      </c>
      <c r="AC60" s="407">
        <f t="shared" si="32"/>
        <v>0</v>
      </c>
      <c r="AD60" s="431"/>
      <c r="AE60" s="433">
        <f t="shared" si="33"/>
        <v>0</v>
      </c>
    </row>
    <row r="61" spans="1:31" x14ac:dyDescent="0.25">
      <c r="A61" s="152"/>
      <c r="B61" s="1"/>
      <c r="C61" s="546"/>
      <c r="D61" s="2"/>
      <c r="E61" s="398">
        <f t="shared" si="19"/>
        <v>0</v>
      </c>
      <c r="F61" s="426" t="str">
        <f t="shared" si="20"/>
        <v>j</v>
      </c>
      <c r="G61" s="427"/>
      <c r="H61" s="321">
        <f>IF(F61="j",D61/Allgemeines!$B$30*$C$30,G61)</f>
        <v>0</v>
      </c>
      <c r="I61" s="411">
        <f t="shared" si="21"/>
        <v>0</v>
      </c>
      <c r="J61" s="139">
        <f>IF(AND(F61&lt;&gt;"",B61="Rückspeisung eN",Allgemeines!$B$29&lt;=2028),$J$21,0)
+IF(AND(F61&lt;&gt;"",OR(B61="EEG-nvol",B61="KWKG",B61="Sonstige-nvol"),AND(OR(C61="&lt;= 2022",C61&lt;=2022),Allgemeines!$B$29&lt;=2025)),1,0)
+IF(AND(F61&lt;&gt;"",OR(B61="EEG-nvol",B61="KWKG",B61="Sonstige-nvol"),AND(OR(C61="&lt;= 2022",C61&lt;=2022),Allgemeines!$B$29&gt;=2026)),MIN(1,MAX(0,1-(Allgemeines!$B$29-2025)/4)),0)
+IF(AND(F61&lt;&gt;"",OR(B61="EEG-vol",B61="Sonstige-vol"),OR(C61="&lt;= 2017",C61&lt;=2017),C61&gt;1900),MIN(1,MAX(0,1-(Allgemeines!$B$29-2017)/3)),0)</f>
        <v>0</v>
      </c>
      <c r="K61" s="140">
        <f t="shared" si="22"/>
        <v>0</v>
      </c>
      <c r="L61" s="156"/>
      <c r="M61" s="413" t="str">
        <f t="shared" si="23"/>
        <v/>
      </c>
      <c r="N61" s="407">
        <f t="shared" si="24"/>
        <v>0</v>
      </c>
      <c r="O61" s="428"/>
      <c r="P61" s="404">
        <f t="shared" si="25"/>
        <v>0</v>
      </c>
      <c r="Q61" s="405">
        <f t="shared" si="26"/>
        <v>0</v>
      </c>
      <c r="R61" s="429"/>
      <c r="S61" s="399">
        <f>IF($F61="j",$D61/Allgemeines!$B$30*W$26,R61)*$K61</f>
        <v>0</v>
      </c>
      <c r="T61" s="406">
        <f t="shared" si="27"/>
        <v>0</v>
      </c>
      <c r="U61" s="399">
        <f t="shared" si="28"/>
        <v>0</v>
      </c>
      <c r="V61" s="430"/>
      <c r="W61" s="558"/>
      <c r="X61" s="664">
        <f t="shared" si="29"/>
        <v>0</v>
      </c>
      <c r="Y61" s="673"/>
      <c r="Z61" s="407">
        <f t="shared" si="30"/>
        <v>0</v>
      </c>
      <c r="AA61" s="431"/>
      <c r="AB61" s="432">
        <f t="shared" si="31"/>
        <v>0</v>
      </c>
      <c r="AC61" s="407">
        <f t="shared" si="32"/>
        <v>0</v>
      </c>
      <c r="AD61" s="431"/>
      <c r="AE61" s="433">
        <f t="shared" si="33"/>
        <v>0</v>
      </c>
    </row>
    <row r="62" spans="1:31" x14ac:dyDescent="0.25">
      <c r="A62" s="152"/>
      <c r="B62" s="1"/>
      <c r="C62" s="546"/>
      <c r="D62" s="2"/>
      <c r="E62" s="398">
        <f t="shared" si="19"/>
        <v>0</v>
      </c>
      <c r="F62" s="426" t="str">
        <f t="shared" si="20"/>
        <v>j</v>
      </c>
      <c r="G62" s="427"/>
      <c r="H62" s="321">
        <f>IF(F62="j",D62/Allgemeines!$B$30*$C$30,G62)</f>
        <v>0</v>
      </c>
      <c r="I62" s="411">
        <f t="shared" si="21"/>
        <v>0</v>
      </c>
      <c r="J62" s="139">
        <f>IF(AND(F62&lt;&gt;"",B62="Rückspeisung eN",Allgemeines!$B$29&lt;=2028),$J$21,0)
+IF(AND(F62&lt;&gt;"",OR(B62="EEG-nvol",B62="KWKG",B62="Sonstige-nvol"),AND(OR(C62="&lt;= 2022",C62&lt;=2022),Allgemeines!$B$29&lt;=2025)),1,0)
+IF(AND(F62&lt;&gt;"",OR(B62="EEG-nvol",B62="KWKG",B62="Sonstige-nvol"),AND(OR(C62="&lt;= 2022",C62&lt;=2022),Allgemeines!$B$29&gt;=2026)),MIN(1,MAX(0,1-(Allgemeines!$B$29-2025)/4)),0)
+IF(AND(F62&lt;&gt;"",OR(B62="EEG-vol",B62="Sonstige-vol"),OR(C62="&lt;= 2017",C62&lt;=2017),C62&gt;1900),MIN(1,MAX(0,1-(Allgemeines!$B$29-2017)/3)),0)</f>
        <v>0</v>
      </c>
      <c r="K62" s="140">
        <f t="shared" si="22"/>
        <v>0</v>
      </c>
      <c r="L62" s="156"/>
      <c r="M62" s="413" t="str">
        <f t="shared" si="23"/>
        <v/>
      </c>
      <c r="N62" s="407">
        <f t="shared" si="24"/>
        <v>0</v>
      </c>
      <c r="O62" s="428"/>
      <c r="P62" s="404">
        <f t="shared" si="25"/>
        <v>0</v>
      </c>
      <c r="Q62" s="405">
        <f t="shared" si="26"/>
        <v>0</v>
      </c>
      <c r="R62" s="429"/>
      <c r="S62" s="399">
        <f>IF($F62="j",$D62/Allgemeines!$B$30*W$26,R62)*$K62</f>
        <v>0</v>
      </c>
      <c r="T62" s="406">
        <f t="shared" si="27"/>
        <v>0</v>
      </c>
      <c r="U62" s="399">
        <f t="shared" si="28"/>
        <v>0</v>
      </c>
      <c r="V62" s="430"/>
      <c r="W62" s="558"/>
      <c r="X62" s="664">
        <f t="shared" si="29"/>
        <v>0</v>
      </c>
      <c r="Y62" s="673"/>
      <c r="Z62" s="407">
        <f t="shared" si="30"/>
        <v>0</v>
      </c>
      <c r="AA62" s="431"/>
      <c r="AB62" s="432">
        <f t="shared" si="31"/>
        <v>0</v>
      </c>
      <c r="AC62" s="407">
        <f t="shared" si="32"/>
        <v>0</v>
      </c>
      <c r="AD62" s="431"/>
      <c r="AE62" s="433">
        <f t="shared" si="33"/>
        <v>0</v>
      </c>
    </row>
    <row r="63" spans="1:31" x14ac:dyDescent="0.25">
      <c r="A63" s="152"/>
      <c r="B63" s="1"/>
      <c r="C63" s="546"/>
      <c r="D63" s="2"/>
      <c r="E63" s="398">
        <f t="shared" si="19"/>
        <v>0</v>
      </c>
      <c r="F63" s="69" t="str">
        <f t="shared" si="20"/>
        <v>j</v>
      </c>
      <c r="G63" s="427"/>
      <c r="H63" s="321">
        <f>IF(F63="j",D63/Allgemeines!$B$30*$C$30,G63)</f>
        <v>0</v>
      </c>
      <c r="I63" s="411">
        <f t="shared" si="21"/>
        <v>0</v>
      </c>
      <c r="J63" s="139">
        <f>IF(AND(F63&lt;&gt;"",B63="Rückspeisung eN",Allgemeines!$B$29&lt;=2028),$J$21,0)
+IF(AND(F63&lt;&gt;"",OR(B63="EEG-nvol",B63="KWKG",B63="Sonstige-nvol"),AND(OR(C63="&lt;= 2022",C63&lt;=2022),Allgemeines!$B$29&lt;=2025)),1,0)
+IF(AND(F63&lt;&gt;"",OR(B63="EEG-nvol",B63="KWKG",B63="Sonstige-nvol"),AND(OR(C63="&lt;= 2022",C63&lt;=2022),Allgemeines!$B$29&gt;=2026)),MIN(1,MAX(0,1-(Allgemeines!$B$29-2025)/4)),0)
+IF(AND(F63&lt;&gt;"",OR(B63="EEG-vol",B63="Sonstige-vol"),OR(C63="&lt;= 2017",C63&lt;=2017),C63&gt;1900),MIN(1,MAX(0,1-(Allgemeines!$B$29-2017)/3)),0)</f>
        <v>0</v>
      </c>
      <c r="K63" s="140">
        <f t="shared" si="22"/>
        <v>0</v>
      </c>
      <c r="L63" s="156"/>
      <c r="M63" s="413" t="str">
        <f t="shared" si="23"/>
        <v/>
      </c>
      <c r="N63" s="407">
        <f t="shared" si="24"/>
        <v>0</v>
      </c>
      <c r="O63" s="434"/>
      <c r="P63" s="272">
        <f t="shared" si="25"/>
        <v>0</v>
      </c>
      <c r="Q63" s="408">
        <f t="shared" si="26"/>
        <v>0</v>
      </c>
      <c r="R63" s="429"/>
      <c r="S63" s="399">
        <f>IF($F63="j",$D63/Allgemeines!$B$30*W$26,R63)*$K63</f>
        <v>0</v>
      </c>
      <c r="T63" s="406">
        <f t="shared" si="27"/>
        <v>0</v>
      </c>
      <c r="U63" s="399">
        <f t="shared" si="28"/>
        <v>0</v>
      </c>
      <c r="V63" s="429"/>
      <c r="W63" s="558"/>
      <c r="X63" s="664">
        <f t="shared" si="29"/>
        <v>0</v>
      </c>
      <c r="Y63" s="665"/>
      <c r="Z63" s="407">
        <f t="shared" si="30"/>
        <v>0</v>
      </c>
      <c r="AA63" s="434"/>
      <c r="AB63" s="432">
        <f t="shared" si="31"/>
        <v>0</v>
      </c>
      <c r="AC63" s="407">
        <f t="shared" si="32"/>
        <v>0</v>
      </c>
      <c r="AD63" s="434"/>
      <c r="AE63" s="433">
        <f t="shared" si="33"/>
        <v>0</v>
      </c>
    </row>
    <row r="64" spans="1:31" x14ac:dyDescent="0.25">
      <c r="A64" s="153"/>
      <c r="B64" s="1"/>
      <c r="C64" s="546"/>
      <c r="D64" s="2"/>
      <c r="E64" s="398">
        <f t="shared" si="19"/>
        <v>0</v>
      </c>
      <c r="F64" s="69" t="str">
        <f t="shared" si="20"/>
        <v>j</v>
      </c>
      <c r="G64" s="427"/>
      <c r="H64" s="321">
        <f>IF(F64="j",D64/Allgemeines!$B$30*$C$30,G64)</f>
        <v>0</v>
      </c>
      <c r="I64" s="411">
        <f t="shared" si="21"/>
        <v>0</v>
      </c>
      <c r="J64" s="139">
        <f>IF(AND(F64&lt;&gt;"",B64="Rückspeisung eN",Allgemeines!$B$29&lt;=2028),$J$21,0)
+IF(AND(F64&lt;&gt;"",OR(B64="EEG-nvol",B64="KWKG",B64="Sonstige-nvol"),AND(OR(C64="&lt;= 2022",C64&lt;=2022),Allgemeines!$B$29&lt;=2025)),1,0)
+IF(AND(F64&lt;&gt;"",OR(B64="EEG-nvol",B64="KWKG",B64="Sonstige-nvol"),AND(OR(C64="&lt;= 2022",C64&lt;=2022),Allgemeines!$B$29&gt;=2026)),MIN(1,MAX(0,1-(Allgemeines!$B$29-2025)/4)),0)
+IF(AND(F64&lt;&gt;"",OR(B64="EEG-vol",B64="Sonstige-vol"),OR(C64="&lt;= 2017",C64&lt;=2017),C64&gt;1900),MIN(1,MAX(0,1-(Allgemeines!$B$29-2017)/3)),0)</f>
        <v>0</v>
      </c>
      <c r="K64" s="140">
        <f t="shared" si="22"/>
        <v>0</v>
      </c>
      <c r="L64" s="156"/>
      <c r="M64" s="413" t="str">
        <f t="shared" si="23"/>
        <v/>
      </c>
      <c r="N64" s="407">
        <f t="shared" si="24"/>
        <v>0</v>
      </c>
      <c r="O64" s="434"/>
      <c r="P64" s="272">
        <f t="shared" si="25"/>
        <v>0</v>
      </c>
      <c r="Q64" s="408">
        <f t="shared" si="26"/>
        <v>0</v>
      </c>
      <c r="R64" s="429"/>
      <c r="S64" s="399">
        <f>IF($F64="j",$D64/Allgemeines!$B$30*W$26,R64)*$K64</f>
        <v>0</v>
      </c>
      <c r="T64" s="406">
        <f t="shared" si="27"/>
        <v>0</v>
      </c>
      <c r="U64" s="399">
        <f t="shared" si="28"/>
        <v>0</v>
      </c>
      <c r="V64" s="429"/>
      <c r="W64" s="558"/>
      <c r="X64" s="664">
        <f t="shared" si="29"/>
        <v>0</v>
      </c>
      <c r="Y64" s="665"/>
      <c r="Z64" s="407">
        <f t="shared" si="30"/>
        <v>0</v>
      </c>
      <c r="AA64" s="434"/>
      <c r="AB64" s="432">
        <f t="shared" si="31"/>
        <v>0</v>
      </c>
      <c r="AC64" s="407">
        <f t="shared" si="32"/>
        <v>0</v>
      </c>
      <c r="AD64" s="434"/>
      <c r="AE64" s="433">
        <f t="shared" si="33"/>
        <v>0</v>
      </c>
    </row>
    <row r="65" spans="1:31" ht="15.75" thickBot="1" x14ac:dyDescent="0.3">
      <c r="A65" s="435"/>
      <c r="D65" s="70"/>
      <c r="E65" s="280"/>
      <c r="F65" s="69"/>
      <c r="G65" s="321"/>
      <c r="H65" s="321"/>
      <c r="I65" s="321"/>
      <c r="J65" s="321"/>
      <c r="K65" s="321"/>
      <c r="L65" s="321"/>
      <c r="M65" s="321"/>
      <c r="N65" s="321"/>
      <c r="O65" s="436"/>
      <c r="P65" s="437"/>
      <c r="Q65" s="437"/>
      <c r="R65" s="437"/>
      <c r="S65" s="70"/>
      <c r="T65" s="70"/>
      <c r="U65" s="321"/>
      <c r="V65" s="70"/>
      <c r="W65" s="70"/>
      <c r="X65" s="70"/>
      <c r="Y65" s="70"/>
      <c r="Z65" s="70"/>
      <c r="AA65" s="70"/>
      <c r="AB65" s="70"/>
      <c r="AC65" s="70"/>
      <c r="AD65" s="70"/>
    </row>
    <row r="66" spans="1:31" x14ac:dyDescent="0.25">
      <c r="A66" s="73" t="s">
        <v>215</v>
      </c>
      <c r="B66" s="74"/>
      <c r="C66" s="74"/>
      <c r="D66" s="438">
        <f>SUMIF($F$38:$F$49,"n",D38:D49)</f>
        <v>0</v>
      </c>
      <c r="E66" s="439">
        <f>SUMIF($F$38:$F$49,"n",E38:E49)</f>
        <v>0</v>
      </c>
      <c r="F66" s="440" t="s">
        <v>23</v>
      </c>
      <c r="G66" s="441">
        <f>SUMIF($F$38:$F$49,"n",G38:G49)</f>
        <v>0</v>
      </c>
      <c r="H66" s="441">
        <f>SUMIF($F$38:$F$49,"n",H38:H49)</f>
        <v>0</v>
      </c>
      <c r="I66" s="441">
        <f>SUMIF($F$38:$F$49,"n",I38:I49)</f>
        <v>0</v>
      </c>
      <c r="J66" s="442"/>
      <c r="K66" s="442"/>
      <c r="L66" s="442"/>
      <c r="M66" s="442"/>
      <c r="N66" s="448">
        <f t="shared" ref="N66:V66" si="34">SUMIF($F$38:$F$49,"n",N38:N49)</f>
        <v>0</v>
      </c>
      <c r="O66" s="686">
        <f t="shared" si="34"/>
        <v>0</v>
      </c>
      <c r="P66" s="443">
        <f t="shared" si="34"/>
        <v>0</v>
      </c>
      <c r="Q66" s="684">
        <f t="shared" si="34"/>
        <v>0</v>
      </c>
      <c r="R66" s="441">
        <f t="shared" si="34"/>
        <v>0</v>
      </c>
      <c r="S66" s="444">
        <f t="shared" si="34"/>
        <v>0</v>
      </c>
      <c r="T66" s="445">
        <f t="shared" si="34"/>
        <v>0</v>
      </c>
      <c r="U66" s="444">
        <f t="shared" si="34"/>
        <v>0</v>
      </c>
      <c r="V66" s="446">
        <f t="shared" si="34"/>
        <v>0</v>
      </c>
      <c r="W66" s="556"/>
      <c r="X66" s="674">
        <f t="shared" ref="X66:AE66" si="35">SUMIF($F$38:$F$49,"n",X38:X49)</f>
        <v>0</v>
      </c>
      <c r="Y66" s="667">
        <f t="shared" si="35"/>
        <v>0</v>
      </c>
      <c r="Z66" s="448">
        <f t="shared" si="35"/>
        <v>0</v>
      </c>
      <c r="AA66" s="446">
        <f t="shared" si="35"/>
        <v>0</v>
      </c>
      <c r="AB66" s="447">
        <f t="shared" si="35"/>
        <v>0</v>
      </c>
      <c r="AC66" s="448">
        <f t="shared" si="35"/>
        <v>0</v>
      </c>
      <c r="AD66" s="446">
        <f t="shared" si="35"/>
        <v>0</v>
      </c>
      <c r="AE66" s="447">
        <f t="shared" si="35"/>
        <v>0</v>
      </c>
    </row>
    <row r="67" spans="1:31" x14ac:dyDescent="0.25">
      <c r="A67" s="76" t="s">
        <v>216</v>
      </c>
      <c r="D67" s="449">
        <f>SUMIF($F$38:$F$49,"j",D38:D49)</f>
        <v>0</v>
      </c>
      <c r="E67" s="398">
        <f>SUMIF($F$38:$F$49,"j",E38:E49)</f>
        <v>0</v>
      </c>
      <c r="F67" s="72" t="s">
        <v>1</v>
      </c>
      <c r="G67" s="321">
        <f>SUMIF($F$38:$F$49,"j",G38:G49)</f>
        <v>0</v>
      </c>
      <c r="H67" s="321">
        <f>SUMIF($F$38:$F$49,"j",H38:H49)</f>
        <v>0</v>
      </c>
      <c r="I67" s="321">
        <f>SUMIF($F$38:$F$49,"j",I38:I49)</f>
        <v>0</v>
      </c>
      <c r="J67" s="427"/>
      <c r="K67" s="427"/>
      <c r="L67" s="427"/>
      <c r="M67" s="427"/>
      <c r="N67" s="402">
        <f t="shared" ref="N67:V67" si="36">SUMIF($F$38:$F$49,"j",N38:N49)</f>
        <v>0</v>
      </c>
      <c r="O67" s="687">
        <f t="shared" si="36"/>
        <v>0</v>
      </c>
      <c r="P67" s="450">
        <f t="shared" si="36"/>
        <v>0</v>
      </c>
      <c r="Q67" s="408">
        <f t="shared" si="36"/>
        <v>0</v>
      </c>
      <c r="R67" s="321">
        <f t="shared" si="36"/>
        <v>0</v>
      </c>
      <c r="S67" s="399">
        <f t="shared" si="36"/>
        <v>0</v>
      </c>
      <c r="T67" s="349">
        <f t="shared" si="36"/>
        <v>0</v>
      </c>
      <c r="U67" s="399">
        <f t="shared" si="36"/>
        <v>0</v>
      </c>
      <c r="V67" s="405">
        <f t="shared" si="36"/>
        <v>0</v>
      </c>
      <c r="W67" s="429"/>
      <c r="X67" s="675">
        <f t="shared" ref="X67:AE67" si="37">SUMIF($F$38:$F$49,"j",X38:X49)</f>
        <v>0</v>
      </c>
      <c r="Y67" s="663">
        <f t="shared" si="37"/>
        <v>0</v>
      </c>
      <c r="Z67" s="451">
        <f t="shared" si="37"/>
        <v>0</v>
      </c>
      <c r="AA67" s="452">
        <f t="shared" si="37"/>
        <v>0</v>
      </c>
      <c r="AB67" s="403">
        <f t="shared" si="37"/>
        <v>0</v>
      </c>
      <c r="AC67" s="451">
        <f t="shared" si="37"/>
        <v>0</v>
      </c>
      <c r="AD67" s="452">
        <f t="shared" si="37"/>
        <v>0</v>
      </c>
      <c r="AE67" s="403">
        <f t="shared" si="37"/>
        <v>0</v>
      </c>
    </row>
    <row r="68" spans="1:31" x14ac:dyDescent="0.25">
      <c r="A68" s="210" t="s">
        <v>214</v>
      </c>
      <c r="B68" s="4"/>
      <c r="C68" s="4"/>
      <c r="D68" s="212">
        <f>SUM(D53:D64)</f>
        <v>0</v>
      </c>
      <c r="E68" s="453">
        <f>SUM(E53:E64)</f>
        <v>0</v>
      </c>
      <c r="F68" s="454" t="s">
        <v>1</v>
      </c>
      <c r="G68" s="455">
        <f t="shared" ref="G68:I68" si="38">SUM(G53:G64)</f>
        <v>0</v>
      </c>
      <c r="H68" s="456">
        <f t="shared" si="38"/>
        <v>0</v>
      </c>
      <c r="I68" s="456">
        <f t="shared" si="38"/>
        <v>0</v>
      </c>
      <c r="J68" s="455"/>
      <c r="K68" s="455"/>
      <c r="L68" s="455"/>
      <c r="M68" s="455"/>
      <c r="N68" s="462">
        <f t="shared" ref="N68:U68" si="39">SUM(N53:N64)</f>
        <v>0</v>
      </c>
      <c r="O68" s="688">
        <f t="shared" si="39"/>
        <v>0</v>
      </c>
      <c r="P68" s="458">
        <f t="shared" si="39"/>
        <v>0</v>
      </c>
      <c r="Q68" s="685">
        <f t="shared" si="39"/>
        <v>0</v>
      </c>
      <c r="R68" s="459">
        <f t="shared" si="39"/>
        <v>0</v>
      </c>
      <c r="S68" s="459">
        <f t="shared" si="39"/>
        <v>0</v>
      </c>
      <c r="T68" s="342">
        <f t="shared" si="39"/>
        <v>0</v>
      </c>
      <c r="U68" s="459">
        <f t="shared" si="39"/>
        <v>0</v>
      </c>
      <c r="V68" s="460"/>
      <c r="W68" s="460"/>
      <c r="X68" s="676">
        <f>SUM(X53:X64)</f>
        <v>0</v>
      </c>
      <c r="Y68" s="669"/>
      <c r="Z68" s="462">
        <f>SUM(Z53:Z64)</f>
        <v>0</v>
      </c>
      <c r="AA68" s="461"/>
      <c r="AB68" s="463">
        <f>SUM(AB53:AB64)</f>
        <v>0</v>
      </c>
      <c r="AC68" s="462">
        <f>SUM(AC53:AC64)</f>
        <v>0</v>
      </c>
      <c r="AD68" s="461"/>
      <c r="AE68" s="463">
        <f>SUM(AE53:AE64)</f>
        <v>0</v>
      </c>
    </row>
    <row r="69" spans="1:31" ht="15.75" thickBot="1" x14ac:dyDescent="0.3">
      <c r="A69" s="78" t="s">
        <v>3</v>
      </c>
      <c r="B69" s="464"/>
      <c r="C69" s="79"/>
      <c r="D69" s="465">
        <f>D66+D67+D68</f>
        <v>0</v>
      </c>
      <c r="E69" s="466">
        <f>E66+E67+E68</f>
        <v>0</v>
      </c>
      <c r="F69" s="467"/>
      <c r="G69" s="468"/>
      <c r="H69" s="469">
        <f>SUM(H66:H68)</f>
        <v>0</v>
      </c>
      <c r="I69" s="469">
        <f>SUM(I66:I68)</f>
        <v>0</v>
      </c>
      <c r="J69" s="468"/>
      <c r="K69" s="468"/>
      <c r="L69" s="468"/>
      <c r="M69" s="468"/>
      <c r="N69" s="683">
        <f t="shared" ref="N69:V69" si="40">SUM(N66:N68)</f>
        <v>0</v>
      </c>
      <c r="O69" s="689">
        <f t="shared" si="40"/>
        <v>0</v>
      </c>
      <c r="P69" s="470">
        <f t="shared" si="40"/>
        <v>0</v>
      </c>
      <c r="Q69" s="683">
        <f t="shared" si="40"/>
        <v>0</v>
      </c>
      <c r="R69" s="472">
        <f t="shared" si="40"/>
        <v>0</v>
      </c>
      <c r="S69" s="472">
        <f t="shared" si="40"/>
        <v>0</v>
      </c>
      <c r="T69" s="471">
        <f t="shared" si="40"/>
        <v>0</v>
      </c>
      <c r="U69" s="472">
        <f t="shared" si="40"/>
        <v>0</v>
      </c>
      <c r="V69" s="475">
        <f t="shared" si="40"/>
        <v>0</v>
      </c>
      <c r="W69" s="557"/>
      <c r="X69" s="677">
        <f t="shared" ref="X69:AE69" si="41">SUM(X66:X68)</f>
        <v>0</v>
      </c>
      <c r="Y69" s="671">
        <f t="shared" si="41"/>
        <v>0</v>
      </c>
      <c r="Z69" s="474">
        <f t="shared" si="41"/>
        <v>0</v>
      </c>
      <c r="AA69" s="475">
        <f t="shared" si="41"/>
        <v>0</v>
      </c>
      <c r="AB69" s="473">
        <f t="shared" si="41"/>
        <v>0</v>
      </c>
      <c r="AC69" s="474">
        <f t="shared" si="41"/>
        <v>0</v>
      </c>
      <c r="AD69" s="475">
        <f t="shared" si="41"/>
        <v>0</v>
      </c>
      <c r="AE69" s="473">
        <f t="shared" si="41"/>
        <v>0</v>
      </c>
    </row>
    <row r="70" spans="1:31" ht="16.5" x14ac:dyDescent="0.3">
      <c r="D70" s="476" t="s">
        <v>27</v>
      </c>
      <c r="E70" s="477" t="s">
        <v>154</v>
      </c>
      <c r="F70" s="476"/>
      <c r="G70" s="476"/>
      <c r="H70" s="478" t="s">
        <v>180</v>
      </c>
      <c r="I70" s="477" t="s">
        <v>155</v>
      </c>
      <c r="K70" s="478"/>
      <c r="L70" s="478"/>
      <c r="M70" s="478"/>
      <c r="N70" s="478"/>
      <c r="O70" s="478"/>
      <c r="P70" s="73" t="s">
        <v>396</v>
      </c>
      <c r="Q70" s="74"/>
      <c r="R70" s="74"/>
      <c r="S70" s="74"/>
      <c r="T70" s="74"/>
      <c r="U70" s="479">
        <f>CHOOSE(RIGHT(U$35,1),D69,W23,H69)</f>
        <v>0</v>
      </c>
      <c r="Z70" s="480"/>
      <c r="AA70" s="480"/>
      <c r="AB70" s="480"/>
      <c r="AC70" s="480"/>
      <c r="AD70" s="480"/>
    </row>
    <row r="71" spans="1:31" x14ac:dyDescent="0.25">
      <c r="P71" s="76" t="s">
        <v>392</v>
      </c>
      <c r="U71" s="481">
        <f>IF(U70=0,0,U69/U70)</f>
        <v>0</v>
      </c>
    </row>
    <row r="72" spans="1:31" ht="15.75" thickBot="1" x14ac:dyDescent="0.3">
      <c r="P72" s="78" t="s">
        <v>393</v>
      </c>
      <c r="Q72" s="79"/>
      <c r="R72" s="79"/>
      <c r="S72" s="79"/>
      <c r="T72" s="79"/>
      <c r="U72" s="89">
        <f>IF(D69=0,0,P69/D69)</f>
        <v>0</v>
      </c>
    </row>
  </sheetData>
  <sheetProtection algorithmName="SHA-512" hashValue="utaOL0HyVrL0sQRoyV121dSWg/oIw4dhQMcAytu8e6Xwzlv3RYr7AxmNcliG2/yPLo0gU+tnNw0GoLc92qnKNQ==" saltValue="TlLLZ+hGg7a6YrPX7m6+EA==" spinCount="100000" sheet="1" objects="1" scenarios="1" formatCells="0"/>
  <mergeCells count="11">
    <mergeCell ref="H28:K28"/>
    <mergeCell ref="H29:K29"/>
    <mergeCell ref="H30:K30"/>
    <mergeCell ref="H31:K31"/>
    <mergeCell ref="H32:K32"/>
    <mergeCell ref="V3:AD8"/>
    <mergeCell ref="L22:L26"/>
    <mergeCell ref="M22:M25"/>
    <mergeCell ref="N22:N25"/>
    <mergeCell ref="H27:K27"/>
    <mergeCell ref="H26:K26"/>
  </mergeCells>
  <conditionalFormatting sqref="E69 C10">
    <cfRule type="expression" dxfId="231" priority="97">
      <formula>ABS($C$10-$E$69)&gt;0.01</formula>
    </cfRule>
    <cfRule type="expression" dxfId="230" priority="100">
      <formula>ABS($C$10-$E$69)&lt;0.01</formula>
    </cfRule>
  </conditionalFormatting>
  <conditionalFormatting sqref="C14">
    <cfRule type="cellIs" dxfId="229" priority="93" operator="greaterThan">
      <formula>1.0001</formula>
    </cfRule>
  </conditionalFormatting>
  <conditionalFormatting sqref="G68 T68 J68:N68">
    <cfRule type="expression" dxfId="228" priority="94">
      <formula>G68&lt;-1</formula>
    </cfRule>
  </conditionalFormatting>
  <conditionalFormatting sqref="G68">
    <cfRule type="expression" dxfId="227" priority="99">
      <formula>AND($G$68&gt;$D$68*4,D68&gt;1)</formula>
    </cfRule>
  </conditionalFormatting>
  <conditionalFormatting sqref="D19:E19">
    <cfRule type="expression" dxfId="226" priority="92">
      <formula>$B$16="j"</formula>
    </cfRule>
  </conditionalFormatting>
  <conditionalFormatting sqref="C29:C30">
    <cfRule type="expression" dxfId="225" priority="95">
      <formula>C29&lt;-0.1</formula>
    </cfRule>
  </conditionalFormatting>
  <conditionalFormatting sqref="W23">
    <cfRule type="expression" dxfId="224" priority="91">
      <formula>$W$23&lt;-1</formula>
    </cfRule>
  </conditionalFormatting>
  <conditionalFormatting sqref="M68">
    <cfRule type="expression" dxfId="223" priority="102">
      <formula>AND($G$68&gt;$D$68*4,E68&gt;1)</formula>
    </cfRule>
  </conditionalFormatting>
  <conditionalFormatting sqref="K68:L68">
    <cfRule type="expression" dxfId="222" priority="103">
      <formula>AND($G$68&gt;$D$68*4,E68&gt;1)</formula>
    </cfRule>
  </conditionalFormatting>
  <conditionalFormatting sqref="J68">
    <cfRule type="expression" dxfId="221" priority="104">
      <formula>AND($G$68&gt;$D$68*4,E68&gt;1)</formula>
    </cfRule>
  </conditionalFormatting>
  <conditionalFormatting sqref="L28:L32">
    <cfRule type="duplicateValues" dxfId="220" priority="88"/>
  </conditionalFormatting>
  <conditionalFormatting sqref="H68">
    <cfRule type="expression" dxfId="219" priority="83">
      <formula>H68&lt;-1</formula>
    </cfRule>
  </conditionalFormatting>
  <conditionalFormatting sqref="H68">
    <cfRule type="expression" dxfId="218" priority="84">
      <formula>AND($G$68&gt;$D$68*4,E68&gt;1)</formula>
    </cfRule>
  </conditionalFormatting>
  <conditionalFormatting sqref="I68">
    <cfRule type="expression" dxfId="217" priority="80">
      <formula>I68&lt;-1</formula>
    </cfRule>
  </conditionalFormatting>
  <conditionalFormatting sqref="I68">
    <cfRule type="expression" dxfId="216" priority="81">
      <formula>AND($G$68&gt;$D$68*4,F68&gt;1)</formula>
    </cfRule>
  </conditionalFormatting>
  <conditionalFormatting sqref="I69 C20">
    <cfRule type="expression" dxfId="215" priority="58">
      <formula>ABS($C$20-$I$69)&gt;=0.01</formula>
    </cfRule>
  </conditionalFormatting>
  <conditionalFormatting sqref="H69 C26">
    <cfRule type="expression" dxfId="214" priority="57">
      <formula>ABS($C$26-$H$69)&gt;=0.01</formula>
    </cfRule>
  </conditionalFormatting>
  <conditionalFormatting sqref="E18">
    <cfRule type="expression" dxfId="213" priority="50">
      <formula>AND(Sperrung="j",CELL("Schutz",E18))</formula>
    </cfRule>
  </conditionalFormatting>
  <conditionalFormatting sqref="C24">
    <cfRule type="expression" dxfId="212" priority="48">
      <formula>AND(Sperrung="j",CELL("Schutz",C24))</formula>
    </cfRule>
  </conditionalFormatting>
  <conditionalFormatting sqref="W25:W26">
    <cfRule type="expression" dxfId="211" priority="43">
      <formula>W25&lt;-0.1</formula>
    </cfRule>
  </conditionalFormatting>
  <conditionalFormatting sqref="W30">
    <cfRule type="cellIs" dxfId="210" priority="25" operator="notEqual">
      <formula>0</formula>
    </cfRule>
  </conditionalFormatting>
  <conditionalFormatting sqref="W31">
    <cfRule type="expression" dxfId="209" priority="24">
      <formula>$W$30&lt;&gt;0</formula>
    </cfRule>
  </conditionalFormatting>
  <conditionalFormatting sqref="G38:G49 R38:R49">
    <cfRule type="expression" dxfId="208" priority="21">
      <formula>OR(AND($D38&gt;0,ISBLANK($G38)),AND($W38&gt;0,ISBLANK($G38)))</formula>
    </cfRule>
  </conditionalFormatting>
  <conditionalFormatting sqref="L38:L49 L53:L64">
    <cfRule type="expression" dxfId="207" priority="20">
      <formula>OR(AND($D38&gt;0,ISERROR(MATCH($L38,$L$28:$L$32,0))),AND($W38&gt;0,ISERROR(MATCH($L38,$L$28:$L$32,0))))</formula>
    </cfRule>
  </conditionalFormatting>
  <conditionalFormatting sqref="C25">
    <cfRule type="expression" dxfId="206" priority="16">
      <formula>$C$25&lt;$C$19-0.5</formula>
    </cfRule>
  </conditionalFormatting>
  <conditionalFormatting sqref="C25">
    <cfRule type="expression" dxfId="205" priority="15">
      <formula>AND(Sperrung="j",CELL("Schutz",C25))</formula>
    </cfRule>
  </conditionalFormatting>
  <conditionalFormatting sqref="F38:F49">
    <cfRule type="expression" dxfId="204" priority="13">
      <formula>AND(OR(B38="EEG-vol",B38="EEG-nvol"),F38="j")</formula>
    </cfRule>
    <cfRule type="expression" dxfId="203" priority="14">
      <formula>AND(F38="",OR(D38&lt;&gt;0,G38&lt;&gt;0,W38&lt;&gt;0))</formula>
    </cfRule>
  </conditionalFormatting>
  <conditionalFormatting sqref="C38:C49">
    <cfRule type="expression" dxfId="202" priority="12">
      <formula>AND(AND(B38&lt;&gt;0,B38&lt;&gt;"ohne vermNE"),C38=0)</formula>
    </cfRule>
  </conditionalFormatting>
  <conditionalFormatting sqref="C38:C49">
    <cfRule type="expression" dxfId="201" priority="10">
      <formula>AND(C38&lt;&gt;0,MOD(C38,1)&lt;&gt;0)</formula>
    </cfRule>
    <cfRule type="expression" dxfId="200" priority="11">
      <formula>AND(C38&lt;&gt;0,NOT(ISNUMBER(C38)))</formula>
    </cfRule>
  </conditionalFormatting>
  <conditionalFormatting sqref="V17">
    <cfRule type="expression" dxfId="199" priority="8">
      <formula>V17&gt;0</formula>
    </cfRule>
  </conditionalFormatting>
  <conditionalFormatting sqref="W17">
    <cfRule type="expression" dxfId="198" priority="7">
      <formula>ABS(IF(U69&gt;0,W15/U69*U68,W15)-$W$17)&gt;1</formula>
    </cfRule>
  </conditionalFormatting>
  <dataValidations count="8">
    <dataValidation type="list" allowBlank="1" showInputMessage="1" showErrorMessage="1" sqref="B51:C52" xr:uid="{00000000-0002-0000-0800-000000000000}">
      <formula1>"EEG,KWKG,Sonstige"</formula1>
    </dataValidation>
    <dataValidation type="list" allowBlank="1" showInputMessage="1" showErrorMessage="1" sqref="C28" xr:uid="{00000000-0002-0000-0800-000001000000}">
      <formula1>"1,2"</formula1>
    </dataValidation>
    <dataValidation type="decimal" operator="greaterThanOrEqual" allowBlank="1" showInputMessage="1" showErrorMessage="1" error="Die Rückspeisevergütung muss positiv oder 0 sein._x000a_" sqref="V13:W14" xr:uid="{00000000-0002-0000-0800-000002000000}">
      <formula1>0</formula1>
    </dataValidation>
    <dataValidation type="list" allowBlank="1" showInputMessage="1" showErrorMessage="1" sqref="B16 F38:F52" xr:uid="{00000000-0002-0000-0800-000003000000}">
      <formula1>"j,n"</formula1>
    </dataValidation>
    <dataValidation type="custom" allowBlank="1" showInputMessage="1" showErrorMessage="1" error="Bitte Wert negativ eingeben!" sqref="C19 W22 C25" xr:uid="{00000000-0002-0000-0800-000004000000}">
      <formula1>C19&lt;=0</formula1>
    </dataValidation>
    <dataValidation type="list" allowBlank="1" showDropDown="1" showInputMessage="1" showErrorMessage="1" sqref="F53:F67" xr:uid="{00000000-0002-0000-0800-000005000000}">
      <formula1>"j,n"</formula1>
    </dataValidation>
    <dataValidation type="list" allowBlank="1" showInputMessage="1" showErrorMessage="1" sqref="L53:L64 L38:L49" xr:uid="{00000000-0002-0000-0800-000006000000}">
      <formula1>$L$28:$L$32</formula1>
    </dataValidation>
    <dataValidation type="whole" allowBlank="1" showInputMessage="1" showErrorMessage="1" sqref="C38:C49" xr:uid="{00000000-0002-0000-0800-000007000000}">
      <formula1>1950</formula1>
      <formula2>2100</formula2>
    </dataValidation>
  </dataValidations>
  <printOptions horizontalCentered="1"/>
  <pageMargins left="0.39370078740157483" right="0.39370078740157483" top="0.39370078740157483" bottom="0.39370078740157483" header="0.51181102362204722" footer="0.51181102362204722"/>
  <pageSetup paperSize="9" scale="46" fitToWidth="2" orientation="landscape" r:id="rId1"/>
  <headerFooter alignWithMargins="0"/>
  <rowBreaks count="1" manualBreakCount="1">
    <brk id="33" max="29" man="1"/>
  </rowBreaks>
  <colBreaks count="1" manualBreakCount="1">
    <brk id="15" max="71" man="1"/>
  </colBreaks>
  <drawing r:id="rId2"/>
  <legacyDrawing r:id="rId3"/>
  <controls>
    <mc:AlternateContent xmlns:mc="http://schemas.openxmlformats.org/markup-compatibility/2006">
      <mc:Choice Requires="x14">
        <control shapeId="59432" r:id="rId4" name="CommandButton2">
          <controlPr defaultSize="0" autoLine="0" r:id="rId5">
            <anchor moveWithCells="1">
              <from>
                <xdr:col>0</xdr:col>
                <xdr:colOff>66675</xdr:colOff>
                <xdr:row>34</xdr:row>
                <xdr:rowOff>533400</xdr:rowOff>
              </from>
              <to>
                <xdr:col>0</xdr:col>
                <xdr:colOff>4457700</xdr:colOff>
                <xdr:row>34</xdr:row>
                <xdr:rowOff>962025</xdr:rowOff>
              </to>
            </anchor>
          </controlPr>
        </control>
      </mc:Choice>
      <mc:Fallback>
        <control shapeId="59432" r:id="rId4" name="CommandButton2"/>
      </mc:Fallback>
    </mc:AlternateContent>
    <mc:AlternateContent xmlns:mc="http://schemas.openxmlformats.org/markup-compatibility/2006">
      <mc:Choice Requires="x14">
        <control shapeId="59431" r:id="rId6" name="CommandButton1">
          <controlPr defaultSize="0" autoFill="0" autoLine="0" r:id="rId7">
            <anchor moveWithCells="1">
              <from>
                <xdr:col>0</xdr:col>
                <xdr:colOff>66675</xdr:colOff>
                <xdr:row>34</xdr:row>
                <xdr:rowOff>76200</xdr:rowOff>
              </from>
              <to>
                <xdr:col>0</xdr:col>
                <xdr:colOff>4457700</xdr:colOff>
                <xdr:row>34</xdr:row>
                <xdr:rowOff>504825</xdr:rowOff>
              </to>
            </anchor>
          </controlPr>
        </control>
      </mc:Choice>
      <mc:Fallback>
        <control shapeId="59431" r:id="rId6" name="CommandButton1"/>
      </mc:Fallback>
    </mc:AlternateContent>
  </controls>
  <tableParts count="2">
    <tablePart r:id="rId8"/>
    <tablePart r:id="rId9"/>
  </tableParts>
  <extLst>
    <ext xmlns:x14="http://schemas.microsoft.com/office/spreadsheetml/2009/9/main" uri="{78C0D931-6437-407d-A8EE-F0AAD7539E65}">
      <x14:conditionalFormattings>
        <x14:conditionalFormatting xmlns:xm="http://schemas.microsoft.com/office/excel/2006/main">
          <x14:cfRule type="expression" priority="41" id="{6E1ACB67-88A6-454E-8E06-1BEA620B05DB}">
            <xm:f>OR($B53=Listen!$A$2,$B53=Listen!$A$1)</xm:f>
            <x14:dxf>
              <fill>
                <patternFill>
                  <bgColor theme="1"/>
                </patternFill>
              </fill>
            </x14:dxf>
          </x14:cfRule>
          <x14:cfRule type="expression" priority="42" id="{63C01988-FC78-4A34-8FB2-2692AEAA3E25}">
            <xm:f>IFERROR(MATCH(C53,OFFSET(Listen!$B$1:C$1,MATCH(B53,Listen!$A$1:$A$10,0)-1,0,1,2),0),0)=0</xm:f>
            <x14:dxf>
              <fill>
                <patternFill>
                  <bgColor rgb="FFFF0000"/>
                </patternFill>
              </fill>
            </x14:dxf>
          </x14:cfRule>
          <xm:sqref>C53:C64</xm:sqref>
        </x14:conditionalFormatting>
        <x14:conditionalFormatting xmlns:xm="http://schemas.microsoft.com/office/excel/2006/main">
          <x14:cfRule type="expression" priority="35" id="{A32D9D5F-859F-4D9A-AE7E-49DFC11D78EB}">
            <xm:f>OR(AND(J38&lt;&gt;K38,MATCH(B38,Listen!$A$1:$A$10,0)&gt;=3),AND(K38&lt;&gt;$K$21,B38=Listen!$A$2))</xm:f>
            <x14:dxf>
              <fill>
                <patternFill>
                  <bgColor rgb="FFFF0000"/>
                </patternFill>
              </fill>
            </x14:dxf>
          </x14:cfRule>
          <xm:sqref>K38:K49</xm:sqref>
        </x14:conditionalFormatting>
        <x14:conditionalFormatting xmlns:xm="http://schemas.microsoft.com/office/excel/2006/main">
          <x14:cfRule type="expression" priority="29" id="{C8C53179-FBF5-4971-83ED-4BA4FC62B284}">
            <xm:f>OR(AND(J54&lt;&gt;K54,MATCH(B54,Listen!$A$1:$A$10,0)&gt;=3),AND(K54&lt;&gt;$K$21,B54=Listen!$A$2))</xm:f>
            <x14:dxf>
              <fill>
                <patternFill>
                  <bgColor rgb="FFFF0000"/>
                </patternFill>
              </fill>
            </x14:dxf>
          </x14:cfRule>
          <xm:sqref>K54:K64</xm:sqref>
        </x14:conditionalFormatting>
        <x14:conditionalFormatting xmlns:xm="http://schemas.microsoft.com/office/excel/2006/main">
          <x14:cfRule type="expression" priority="28" id="{0F583632-1C4E-41D3-9846-84BF3B9CF383}">
            <xm:f>OR(AND(J53&lt;&gt;K53,MATCH(B53,Listen!$A$1:$A$10,0)&gt;=3),AND(K53&lt;&gt;$K$21,B53=Listen!$A$2))</xm:f>
            <x14:dxf>
              <fill>
                <patternFill>
                  <bgColor rgb="FFFF0000"/>
                </patternFill>
              </fill>
            </x14:dxf>
          </x14:cfRule>
          <xm:sqref>K53</xm:sqref>
        </x14:conditionalFormatting>
        <x14:conditionalFormatting xmlns:xm="http://schemas.microsoft.com/office/excel/2006/main">
          <x14:cfRule type="expression" priority="23" id="{32097BC7-DA28-4998-A762-629D8D7D7306}">
            <xm:f>OR(AND(B38&lt;&gt;0,IFERROR(VLOOKUP(B38,Listen!$A$1:$A$10,1,FALSE),0)=0),AND(B38=0,D38&lt;&gt;0),AND(B38=0,W38&lt;&gt;0))</xm:f>
            <x14:dxf>
              <fill>
                <patternFill>
                  <bgColor rgb="FFFF0000"/>
                </patternFill>
              </fill>
            </x14:dxf>
          </x14:cfRule>
          <xm:sqref>B38:B49</xm:sqref>
        </x14:conditionalFormatting>
        <x14:conditionalFormatting xmlns:xm="http://schemas.microsoft.com/office/excel/2006/main">
          <x14:cfRule type="expression" priority="18" id="{4A3FCACD-1494-4356-B5DD-5FA5707E2FAA}">
            <xm:f>OR(AND(B53&lt;&gt;0,IFERROR(VLOOKUP(B53,Listen!$A$1:$A$10,1,FALSE),0)=0),AND(B53=0,D53&lt;&gt;0),AND(B53=0,W53&lt;&gt;0))</xm:f>
            <x14:dxf>
              <fill>
                <patternFill>
                  <bgColor rgb="FFFF0000"/>
                </patternFill>
              </fill>
            </x14:dxf>
          </x14:cfRule>
          <xm:sqref>B53:B64</xm:sqref>
        </x14:conditionalFormatting>
        <x14:conditionalFormatting xmlns:xm="http://schemas.microsoft.com/office/excel/2006/main">
          <x14:cfRule type="expression" priority="9" id="{DE5DEEB1-7089-459A-B491-378F85F09495}">
            <xm:f>OR($B38=Listen!$A$1,$B38=Listen!$A$2)</xm:f>
            <x14:dxf>
              <fill>
                <patternFill>
                  <bgColor theme="1"/>
                </patternFill>
              </fill>
            </x14:dxf>
          </x14:cfRule>
          <xm:sqref>C38:C49</xm:sqref>
        </x14:conditionalFormatting>
        <x14:conditionalFormatting xmlns:xm="http://schemas.microsoft.com/office/excel/2006/main">
          <x14:cfRule type="expression" priority="2" id="{29F570D5-CA27-472B-9949-886416C20751}">
            <xm:f>AND(J38&lt;&gt;IF(AND(F38&lt;&gt;"",B38="Rückspeisung eN",Allgemeines!$B$29&lt;=2028),$J$21,0) +IF(AND(F38&lt;&gt;"",OR(B38="EEG-nvol",B38="KWKG",B38="Sonstige-nvol"),AND(OR(C38="&lt;= 2022",C38&lt;=2022),Allgemeines!$B$29&lt;=2025)),1,0) +IF(AND(F38&lt;&gt;"",OR(B38="EEG-nvol",B38="KWKG",B38="Sonstige-nvol"),AND(OR(C38="&lt;= 2022",C38&lt;=2022),Allgemeines!$B$29&gt;=2026)),MIN(1,MAX(0,1-(Allgemeines!$B$29-2025)/4)),0) +IF(AND(F38&lt;&gt;"",OR(B38="EEG-vol",B38="Sonstige-vol"),OR(C38="&lt;= 2017",C38&lt;=2017),C38&gt;1900),MIN(1,MAX(0,1-(Allgemeines!$B$29-2017)/3)),0),B38&lt;&gt;"Rückspeisung fN")</xm:f>
            <x14:dxf>
              <fill>
                <patternFill>
                  <bgColor rgb="FFFF0000"/>
                </patternFill>
              </fill>
            </x14:dxf>
          </x14:cfRule>
          <xm:sqref>J38:J49</xm:sqref>
        </x14:conditionalFormatting>
        <x14:conditionalFormatting xmlns:xm="http://schemas.microsoft.com/office/excel/2006/main">
          <x14:cfRule type="expression" priority="1" id="{8279E0F2-06EE-4CE5-AABC-4BA8FC1B34AA}">
            <xm:f>AND(J53&lt;&gt;IF(AND(F53&lt;&gt;"",B53="Rückspeisung eN",Allgemeines!$B$29&lt;=2028),$J$21,0) +IF(AND(F53&lt;&gt;"",OR(B53="EEG-nvol",B53="KWKG",B53="Sonstige-nvol"),AND(OR(C53="&lt;= 2022",C53&lt;=2022),Allgemeines!$B$29&lt;=2025)),1,0) +IF(AND(F53&lt;&gt;"",OR(B53="EEG-nvol",B53="KWKG",B53="Sonstige-nvol"),AND(OR(C53="&lt;= 2022",C53&lt;=2022),Allgemeines!$B$29&gt;=2026)),MIN(1,MAX(0,1-(Allgemeines!$B$29-2025)/4)),0) +IF(AND(F53&lt;&gt;"",OR(B53="EEG-vol",B53="Sonstige-vol"),OR(C53="&lt;= 2017",C53&lt;=2017),C53&gt;1900),MIN(1,MAX(0,1-(Allgemeines!$B$29-2017)/3)),0),B53&lt;&gt;"Rückspeisung fN")</xm:f>
            <x14:dxf>
              <fill>
                <patternFill>
                  <bgColor rgb="FFFF0000"/>
                </patternFill>
              </fill>
            </x14:dxf>
          </x14:cfRule>
          <xm:sqref>J53:J64</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0800-000008000000}">
          <x14:formula1>
            <xm:f>Listen!$A$12:$A$14</xm:f>
          </x14:formula1>
          <xm:sqref>U35</xm:sqref>
        </x14:dataValidation>
        <x14:dataValidation type="list" allowBlank="1" showInputMessage="1" showErrorMessage="1" xr:uid="{00000000-0002-0000-0800-000009000000}">
          <x14:formula1>
            <xm:f>Listen!$A$1:$A$9</xm:f>
          </x14:formula1>
          <xm:sqref>B53:B64 B38:B49</xm:sqref>
        </x14:dataValidation>
        <x14:dataValidation type="list" allowBlank="1" showInputMessage="1" showErrorMessage="1" xr:uid="{00000000-0002-0000-0800-00000A000000}">
          <x14:formula1>
            <xm:f>OFFSET(Listen!$B$1:$C$1,MATCH(B53,Listen!$A$1:$A$7,0)-1,0,1,2)</xm:f>
          </x14:formula1>
          <xm:sqref>C53:C64</xm:sqref>
        </x14:dataValidation>
      </x14:dataValidation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16</vt:i4>
      </vt:variant>
      <vt:variant>
        <vt:lpstr>Benannte Bereiche</vt:lpstr>
      </vt:variant>
      <vt:variant>
        <vt:i4>10</vt:i4>
      </vt:variant>
    </vt:vector>
  </HeadingPairs>
  <TitlesOfParts>
    <vt:vector size="26" baseType="lpstr">
      <vt:lpstr>Allgemeines</vt:lpstr>
      <vt:lpstr>AF</vt:lpstr>
      <vt:lpstr>JHL MS</vt:lpstr>
      <vt:lpstr>JHL MN</vt:lpstr>
      <vt:lpstr>JHL NS</vt:lpstr>
      <vt:lpstr>vermNE HS</vt:lpstr>
      <vt:lpstr>vermNE HM</vt:lpstr>
      <vt:lpstr>vermNE MS</vt:lpstr>
      <vt:lpstr>vermNE MN</vt:lpstr>
      <vt:lpstr>vermNE NS</vt:lpstr>
      <vt:lpstr>Zusammenfassung</vt:lpstr>
      <vt:lpstr>Überleitung zu E3</vt:lpstr>
      <vt:lpstr>Bilder</vt:lpstr>
      <vt:lpstr>Gewichtung</vt:lpstr>
      <vt:lpstr>Erläuterungen</vt:lpstr>
      <vt:lpstr>Listen</vt:lpstr>
      <vt:lpstr>Allgemeines!Druckbereich</vt:lpstr>
      <vt:lpstr>'vermNE HM'!Druckbereich</vt:lpstr>
      <vt:lpstr>'vermNE HS'!Druckbereich</vt:lpstr>
      <vt:lpstr>'vermNE MN'!Druckbereich</vt:lpstr>
      <vt:lpstr>'vermNE MS'!Druckbereich</vt:lpstr>
      <vt:lpstr>'vermNE NS'!Druckbereich</vt:lpstr>
      <vt:lpstr>Zusammenfassung!Druckbereich</vt:lpstr>
      <vt:lpstr>AF!Drucktitel</vt:lpstr>
      <vt:lpstr>Allgemeines!Drucktitel</vt:lpstr>
      <vt:lpstr>Zusammenfassung!Drucktitel</vt:lpstr>
    </vt:vector>
  </TitlesOfParts>
  <Company>Regierung der Oberpfalz</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GW</dc:creator>
  <cp:lastModifiedBy>Englmann, Michael (stmwi)</cp:lastModifiedBy>
  <cp:lastPrinted>2020-02-07T14:16:58Z</cp:lastPrinted>
  <dcterms:created xsi:type="dcterms:W3CDTF">2011-09-29T07:41:32Z</dcterms:created>
  <dcterms:modified xsi:type="dcterms:W3CDTF">2026-02-27T14:48:14Z</dcterms:modified>
</cp:coreProperties>
</file>